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Data" sheetId="1" r:id="rId1"/>
    <sheet name="Households" sheetId="2" r:id="rId2"/>
    <sheet name="Population" sheetId="3" r:id="rId3"/>
    <sheet name="Poverty" sheetId="4" r:id="rId4"/>
    <sheet name="Diversity" sheetId="5" r:id="rId5"/>
    <sheet name="Age" sheetId="6" r:id="rId6"/>
    <sheet name="Wealth" sheetId="7" r:id="rId7"/>
    <sheet name="Education" sheetId="8" r:id="rId8"/>
    <sheet name="Transit" sheetId="9" r:id="rId9"/>
    <sheet name="Parks" sheetId="10" r:id="rId10"/>
    <sheet name="Habitat" sheetId="11" r:id="rId11"/>
  </sheets>
  <definedNames/>
  <calcPr fullCalcOnLoad="1"/>
</workbook>
</file>

<file path=xl/sharedStrings.xml><?xml version="1.0" encoding="utf-8"?>
<sst xmlns="http://schemas.openxmlformats.org/spreadsheetml/2006/main" count="104" uniqueCount="55">
  <si>
    <t>Metro Region</t>
  </si>
  <si>
    <t>City of Gresham</t>
  </si>
  <si>
    <t>ASERT</t>
  </si>
  <si>
    <t>Centennial</t>
  </si>
  <si>
    <t>City Central</t>
  </si>
  <si>
    <t>Gresham Butte</t>
  </si>
  <si>
    <t>Holly Brook</t>
  </si>
  <si>
    <t>Kelly Creek</t>
  </si>
  <si>
    <t>Mt. Hood</t>
  </si>
  <si>
    <t>North Central</t>
  </si>
  <si>
    <t>North Gresham</t>
  </si>
  <si>
    <t>Northeast</t>
  </si>
  <si>
    <t>Northwest</t>
  </si>
  <si>
    <t>Powell Valley</t>
  </si>
  <si>
    <t>Rockwood</t>
  </si>
  <si>
    <t>Southwest</t>
  </si>
  <si>
    <t>Wilkes-East</t>
  </si>
  <si>
    <t>Area</t>
  </si>
  <si>
    <t>Geographic size in sq. miles</t>
  </si>
  <si>
    <t>Geographic size in acres</t>
  </si>
  <si>
    <t>Rank (1=smallest)</t>
  </si>
  <si>
    <t>Households</t>
  </si>
  <si>
    <t>Households (2000)</t>
  </si>
  <si>
    <t>Rank (1=fewest)</t>
  </si>
  <si>
    <t>Households per acre</t>
  </si>
  <si>
    <t>Population</t>
  </si>
  <si>
    <t>Population (2000)</t>
  </si>
  <si>
    <t>Rank (1=lowest)</t>
  </si>
  <si>
    <t>People per acre</t>
  </si>
  <si>
    <t>People per household</t>
  </si>
  <si>
    <t>Poverty</t>
  </si>
  <si>
    <t>People in poverty (2000)</t>
  </si>
  <si>
    <t>Tier (1=below region)</t>
  </si>
  <si>
    <t>Change/growth (1990-2000)</t>
  </si>
  <si>
    <t>Rank (1=least)</t>
  </si>
  <si>
    <t>Diversity</t>
  </si>
  <si>
    <t>Minorities (2000)</t>
  </si>
  <si>
    <t>Age</t>
  </si>
  <si>
    <t>Wealth</t>
  </si>
  <si>
    <t>Head of household income $125k+</t>
  </si>
  <si>
    <t>Median SFR sale price (2004)</t>
  </si>
  <si>
    <t>Change/growth (1995-2004)</t>
  </si>
  <si>
    <t>Affordable housing index</t>
  </si>
  <si>
    <t>Education</t>
  </si>
  <si>
    <t>Transit</t>
  </si>
  <si>
    <t>Rank (1=longest)</t>
  </si>
  <si>
    <t>Rank (1=highest)</t>
  </si>
  <si>
    <t>Public Parks</t>
  </si>
  <si>
    <t>Parks in total acres</t>
  </si>
  <si>
    <t>Park acres per 1,000 pop.</t>
  </si>
  <si>
    <t>%'age area set aside as parks</t>
  </si>
  <si>
    <t>Natural Habitat</t>
  </si>
  <si>
    <t>Habitat in total acres</t>
  </si>
  <si>
    <t>Habitat acres per 1,000 pop.</t>
  </si>
  <si>
    <t>%'age area set aside as habitat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</si>
</sst>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0"/>
    <numFmt numFmtId="167" formatCode="#,##0.0"/>
    <numFmt numFmtId="168" formatCode="#,##0"/>
    <numFmt numFmtId="169" formatCode="0.0%"/>
    <numFmt numFmtId="170" formatCode="#,##0.000"/>
    <numFmt numFmtId="171" formatCode="0%"/>
    <numFmt numFmtId="172" formatCode="#,##0.0%"/>
  </numFmts>
  <fonts count="1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4"/>
      <name val="Arial"/>
      <family val="2"/>
    </font>
    <font>
      <sz val="12"/>
      <name val="Arial"/>
      <family val="5"/>
    </font>
    <font>
      <sz val="16"/>
      <name val="Arial"/>
      <family val="5"/>
    </font>
    <font>
      <sz val="28"/>
      <name val="Arial"/>
      <family val="5"/>
    </font>
    <font>
      <sz val="11.7"/>
      <name val="Arial"/>
      <family val="5"/>
    </font>
    <font>
      <sz val="8.6"/>
      <name val="Arial"/>
      <family val="5"/>
    </font>
    <font>
      <sz val="11.5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horizontal="center" vertical="center" textRotation="90" wrapText="1"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/>
    </xf>
    <xf numFmtId="167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3" fillId="2" borderId="0" xfId="0" applyNumberFormat="1" applyFont="1" applyFill="1" applyBorder="1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3" fillId="2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9" fontId="3" fillId="2" borderId="0" xfId="0" applyNumberFormat="1" applyFont="1" applyFill="1" applyAlignment="1">
      <alignment/>
    </xf>
    <xf numFmtId="170" fontId="3" fillId="2" borderId="0" xfId="0" applyNumberFormat="1" applyFont="1" applyFill="1" applyAlignment="1">
      <alignment/>
    </xf>
    <xf numFmtId="170" fontId="3" fillId="2" borderId="0" xfId="0" applyNumberFormat="1" applyFont="1" applyFill="1" applyBorder="1" applyAlignment="1">
      <alignment/>
    </xf>
    <xf numFmtId="171" fontId="3" fillId="2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7" fillId="0" borderId="0" xfId="0" applyFont="1" applyFill="1" applyAlignment="1">
      <alignment/>
    </xf>
    <xf numFmtId="172" fontId="3" fillId="2" borderId="0" xfId="0" applyNumberFormat="1" applyFont="1" applyFill="1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Households!$A$2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Households!$B$1:$P$1</c:f>
              <c:strCache/>
            </c:strRef>
          </c:cat>
          <c:val>
            <c:numRef>
              <c:f>Households!$B$2:$P$2</c:f>
              <c:numCache/>
            </c:numRef>
          </c:val>
        </c:ser>
        <c:ser>
          <c:idx val="1"/>
          <c:order val="1"/>
          <c:tx>
            <c:strRef>
              <c:f>Households!$A$3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Households!$B$1:$P$1</c:f>
              <c:strCache/>
            </c:strRef>
          </c:cat>
          <c:val>
            <c:numRef>
              <c:f>Households!$B$3:$P$3</c:f>
              <c:numCache/>
            </c:numRef>
          </c:val>
        </c:ser>
        <c:overlap val="100"/>
        <c:gapWidth val="100"/>
        <c:axId val="61064160"/>
        <c:axId val="12706529"/>
      </c:bar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06529"/>
        <c:crossesAt val="0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4160"/>
        <c:crossesAt val="1"/>
        <c:crossBetween val="between"/>
        <c:dispUnits/>
        <c:majorUnit val="2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Habitat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Habitat!$A$2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Habitat!$B$2:$P$2</c:f>
              <c:numCache/>
            </c:numRef>
          </c:val>
        </c:ser>
        <c:ser>
          <c:idx val="1"/>
          <c:order val="1"/>
          <c:tx>
            <c:strRef>
              <c:f>Habitat!$A$3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Habitat!$B$3:$P$3</c:f>
              <c:numCache/>
            </c:numRef>
          </c:val>
        </c:ser>
        <c:ser>
          <c:idx val="2"/>
          <c:order val="2"/>
          <c:tx>
            <c:strRef>
              <c:f>Habitat!$A$4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Habitat!$B$4:$P$4</c:f>
              <c:numCache/>
            </c:numRef>
          </c:val>
        </c:ser>
        <c:ser>
          <c:idx val="3"/>
          <c:order val="3"/>
          <c:tx>
            <c:strRef>
              <c:f>Habitat!$A$5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Habitat!$B$5:$P$5</c:f>
              <c:numCache/>
            </c:numRef>
          </c:val>
        </c:ser>
        <c:ser>
          <c:idx val="4"/>
          <c:order val="4"/>
          <c:tx>
            <c:strRef>
              <c:f>Habitat!$A$6</c:f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Habitat!$B$1:$P$1</c:f>
              <c:strCache/>
            </c:strRef>
          </c:cat>
          <c:val>
            <c:numRef>
              <c:f>Habitat!$B$6:$P$6</c:f>
              <c:numCache/>
            </c:numRef>
          </c:val>
        </c:ser>
        <c:overlap val="100"/>
        <c:gapWidth val="100"/>
        <c:axId val="25453242"/>
        <c:axId val="27752587"/>
      </c:barChart>
      <c:catAx>
        <c:axId val="2545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2587"/>
        <c:crossesAt val="0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better)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3242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Population!$A$2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Population!$B$1:$P$1</c:f>
              <c:strCache/>
            </c:strRef>
          </c:cat>
          <c:val>
            <c:numRef>
              <c:f>Population!$B$2:$P$2</c:f>
              <c:numCache/>
            </c:numRef>
          </c:val>
        </c:ser>
        <c:ser>
          <c:idx val="1"/>
          <c:order val="1"/>
          <c:tx>
            <c:strRef>
              <c:f>Population!$A$3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Population!$B$1:$P$1</c:f>
              <c:strCache/>
            </c:strRef>
          </c:cat>
          <c:val>
            <c:numRef>
              <c:f>Population!$B$3:$P$3</c:f>
              <c:numCache/>
            </c:numRef>
          </c:val>
        </c:ser>
        <c:ser>
          <c:idx val="2"/>
          <c:order val="2"/>
          <c:tx>
            <c:strRef>
              <c:f>Population!$A$4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Population!$B$1:$P$1</c:f>
              <c:strCache/>
            </c:strRef>
          </c:cat>
          <c:val>
            <c:numRef>
              <c:f>Population!$B$4:$P$4</c:f>
              <c:numCache/>
            </c:numRef>
          </c:val>
        </c:ser>
        <c:overlap val="100"/>
        <c:gapWidth val="100"/>
        <c:axId val="47249898"/>
        <c:axId val="22595899"/>
      </c:barChart>
      <c:cat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5899"/>
        <c:crossesAt val="0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9898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Poverty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Poverty!$A$2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Poverty!$B$2:$P$2</c:f>
              <c:numCache/>
            </c:numRef>
          </c:val>
        </c:ser>
        <c:ser>
          <c:idx val="1"/>
          <c:order val="1"/>
          <c:tx>
            <c:strRef>
              <c:f>Poverty!$A$3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Poverty!$B$3:$P$3</c:f>
              <c:numCache/>
            </c:numRef>
          </c:val>
        </c:ser>
        <c:ser>
          <c:idx val="2"/>
          <c:order val="2"/>
          <c:tx>
            <c:strRef>
              <c:f>Poverty!$A$4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Poverty!$B$4:$P$4</c:f>
              <c:numCache/>
            </c:numRef>
          </c:val>
        </c:ser>
        <c:ser>
          <c:idx val="3"/>
          <c:order val="3"/>
          <c:tx>
            <c:strRef>
              <c:f>Poverty!$A$5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Poverty!$B$5:$P$5</c:f>
              <c:numCache/>
            </c:numRef>
          </c:val>
        </c:ser>
        <c:ser>
          <c:idx val="4"/>
          <c:order val="4"/>
          <c:tx>
            <c:strRef>
              <c:f>Poverty!$A$6</c:f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Poverty!$B$6:$P$6</c:f>
              <c:numCache/>
            </c:numRef>
          </c:val>
        </c:ser>
        <c:ser>
          <c:idx val="5"/>
          <c:order val="5"/>
          <c:tx>
            <c:strRef>
              <c:f>Poverty!$A$7</c:f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99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Poverty!$B$1:$P$1</c:f>
              <c:strCache/>
            </c:strRef>
          </c:cat>
          <c:val>
            <c:numRef>
              <c:f>Poverty!$B$7:$P$7</c:f>
              <c:numCache/>
            </c:numRef>
          </c:val>
        </c:ser>
        <c:overlap val="100"/>
        <c:gapWidth val="100"/>
        <c:axId val="2036500"/>
        <c:axId val="18328501"/>
      </c:barChart>
      <c:catAx>
        <c:axId val="203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8501"/>
        <c:crossesAt val="0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poorer)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500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Diversity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Diversity!$A$2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Diversity!$B$1:$P$1</c:f>
              <c:strCache/>
            </c:strRef>
          </c:cat>
          <c:val>
            <c:numRef>
              <c:f>Diversity!$B$2:$P$2</c:f>
              <c:numCache/>
            </c:numRef>
          </c:val>
        </c:ser>
        <c:ser>
          <c:idx val="1"/>
          <c:order val="1"/>
          <c:tx>
            <c:strRef>
              <c:f>Diversity!$A$3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Diversity!$B$1:$P$1</c:f>
              <c:strCache/>
            </c:strRef>
          </c:cat>
          <c:val>
            <c:numRef>
              <c:f>Diversity!$B$3:$P$3</c:f>
              <c:numCache/>
            </c:numRef>
          </c:val>
        </c:ser>
        <c:ser>
          <c:idx val="2"/>
          <c:order val="2"/>
          <c:tx>
            <c:strRef>
              <c:f>Diversity!$A$4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Diversity!$B$1:$P$1</c:f>
              <c:strCache/>
            </c:strRef>
          </c:cat>
          <c:val>
            <c:numRef>
              <c:f>Diversity!$B$4:$P$4</c:f>
              <c:numCache/>
            </c:numRef>
          </c:val>
        </c:ser>
        <c:ser>
          <c:idx val="3"/>
          <c:order val="3"/>
          <c:tx>
            <c:strRef>
              <c:f>Diversity!$A$5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Diversity!$B$1:$P$1</c:f>
              <c:strCache/>
            </c:strRef>
          </c:cat>
          <c:val>
            <c:numRef>
              <c:f>Diversity!$B$5:$P$5</c:f>
              <c:numCache/>
            </c:numRef>
          </c:val>
        </c:ser>
        <c:overlap val="100"/>
        <c:gapWidth val="100"/>
        <c:axId val="30738782"/>
        <c:axId val="8213583"/>
      </c:barChart>
      <c:catAx>
        <c:axId val="3073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583"/>
        <c:crossesAt val="0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more diverse)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8782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Age!$A$2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6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Age!$B$1:$P$1</c:f>
              <c:strCache/>
            </c:strRef>
          </c:cat>
          <c:val>
            <c:numRef>
              <c:f>Age!$B$2:$P$2</c:f>
              <c:numCache/>
            </c:numRef>
          </c:val>
        </c:ser>
        <c:ser>
          <c:idx val="1"/>
          <c:order val="1"/>
          <c:tx>
            <c:strRef>
              <c:f>Age!$A$3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Age!$B$1:$P$1</c:f>
              <c:strCache/>
            </c:strRef>
          </c:cat>
          <c:val>
            <c:numRef>
              <c:f>Age!$B$3:$P$3</c:f>
              <c:numCache/>
            </c:numRef>
          </c:val>
        </c:ser>
        <c:overlap val="100"/>
        <c:gapWidth val="100"/>
        <c:axId val="6813384"/>
        <c:axId val="61320457"/>
      </c:barChart>
      <c:catAx>
        <c:axId val="681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0457"/>
        <c:crossesAt val="0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3384"/>
        <c:crossesAt val="1"/>
        <c:crossBetween val="between"/>
        <c:dispUnits/>
        <c:majorUnit val="2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Wealth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Wealth!$A$2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Wealth!$B$2:$P$2</c:f>
              <c:numCache/>
            </c:numRef>
          </c:val>
        </c:ser>
        <c:ser>
          <c:idx val="1"/>
          <c:order val="1"/>
          <c:tx>
            <c:strRef>
              <c:f>Wealth!$A$3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Wealth!$B$3:$P$3</c:f>
              <c:numCache/>
            </c:numRef>
          </c:val>
        </c:ser>
        <c:ser>
          <c:idx val="2"/>
          <c:order val="2"/>
          <c:tx>
            <c:strRef>
              <c:f>Wealth!$A$4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Wealth!$B$4:$P$4</c:f>
              <c:numCache/>
            </c:numRef>
          </c:val>
        </c:ser>
        <c:ser>
          <c:idx val="3"/>
          <c:order val="3"/>
          <c:tx>
            <c:strRef>
              <c:f>Wealth!$A$5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Wealth!$B$5:$P$5</c:f>
              <c:numCache/>
            </c:numRef>
          </c:val>
        </c:ser>
        <c:ser>
          <c:idx val="4"/>
          <c:order val="4"/>
          <c:tx>
            <c:strRef>
              <c:f>Wealth!$A$6</c:f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Wealth!$B$6:$P$6</c:f>
              <c:numCache/>
            </c:numRef>
          </c:val>
        </c:ser>
        <c:ser>
          <c:idx val="5"/>
          <c:order val="5"/>
          <c:tx>
            <c:strRef>
              <c:f>Wealth!$A$7</c:f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99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Wealth!$B$1:$P$1</c:f>
              <c:strCache/>
            </c:strRef>
          </c:cat>
          <c:val>
            <c:numRef>
              <c:f>Wealth!$B$7:$P$7</c:f>
              <c:numCache/>
            </c:numRef>
          </c:val>
        </c:ser>
        <c:overlap val="100"/>
        <c:gapWidth val="100"/>
        <c:axId val="15013202"/>
        <c:axId val="901091"/>
      </c:barChart>
      <c:cat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091"/>
        <c:crossesAt val="0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wealthier)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3202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Education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Education!$A$2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Education!$B$1:$P$1</c:f>
              <c:strCache/>
            </c:strRef>
          </c:cat>
          <c:val>
            <c:numRef>
              <c:f>Education!$B$2:$P$2</c:f>
              <c:numCache/>
            </c:numRef>
          </c:val>
        </c:ser>
        <c:ser>
          <c:idx val="1"/>
          <c:order val="1"/>
          <c:tx>
            <c:strRef>
              <c:f>Education!$A$3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Education!$B$1:$P$1</c:f>
              <c:strCache/>
            </c:strRef>
          </c:cat>
          <c:val>
            <c:numRef>
              <c:f>Education!$B$3:$P$3</c:f>
              <c:numCache/>
            </c:numRef>
          </c:val>
        </c:ser>
        <c:overlap val="100"/>
        <c:gapWidth val="100"/>
        <c:axId val="8109820"/>
        <c:axId val="5879517"/>
      </c:barChart>
      <c:catAx>
        <c:axId val="810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17"/>
        <c:crossesAt val="0"/>
        <c:auto val="1"/>
        <c:lblOffset val="100"/>
        <c:noMultiLvlLbl val="0"/>
      </c:catAx>
      <c:valAx>
        <c:axId val="5879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better)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820"/>
        <c:crossesAt val="1"/>
        <c:crossBetween val="between"/>
        <c:dispUnits/>
        <c:majorUnit val="2"/>
        <c:minorUnit val="1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Transit!$A$2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Transit!$B$1:$P$1</c:f>
              <c:strCache/>
            </c:strRef>
          </c:cat>
          <c:val>
            <c:numRef>
              <c:f>Transit!$B$2:$P$2</c:f>
              <c:numCache/>
            </c:numRef>
          </c:val>
        </c:ser>
        <c:ser>
          <c:idx val="1"/>
          <c:order val="1"/>
          <c:tx>
            <c:strRef>
              <c:f>Transit!$A$3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Transit!$B$1:$P$1</c:f>
              <c:strCache/>
            </c:strRef>
          </c:cat>
          <c:val>
            <c:numRef>
              <c:f>Transit!$B$3:$P$3</c:f>
              <c:numCache/>
            </c:numRef>
          </c:val>
        </c:ser>
        <c:ser>
          <c:idx val="2"/>
          <c:order val="2"/>
          <c:tx>
            <c:strRef>
              <c:f>Transit!$A$4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Transit!$B$1:$P$1</c:f>
              <c:strCache/>
            </c:strRef>
          </c:cat>
          <c:val>
            <c:numRef>
              <c:f>Transit!$B$4:$P$4</c:f>
              <c:numCache/>
            </c:numRef>
          </c:val>
        </c:ser>
        <c:ser>
          <c:idx val="3"/>
          <c:order val="3"/>
          <c:tx>
            <c:strRef>
              <c:f>Transit!$A$5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Transit!$B$1:$P$1</c:f>
              <c:strCache/>
            </c:strRef>
          </c:cat>
          <c:val>
            <c:numRef>
              <c:f>Transit!$B$5:$P$5</c:f>
              <c:numCache/>
            </c:numRef>
          </c:val>
        </c:ser>
        <c:overlap val="100"/>
        <c:gapWidth val="100"/>
        <c:axId val="52915654"/>
        <c:axId val="6478839"/>
      </c:barChart>
      <c:catAx>
        <c:axId val="52915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839"/>
        <c:crossesAt val="0"/>
        <c:auto val="1"/>
        <c:lblOffset val="100"/>
        <c:noMultiLvlLbl val="0"/>
      </c:catAx>
      <c:valAx>
        <c:axId val="6478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better)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5654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Parks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Parks!$A$2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Parks!$B$2:$P$2</c:f>
              <c:numCache/>
            </c:numRef>
          </c:val>
        </c:ser>
        <c:ser>
          <c:idx val="1"/>
          <c:order val="1"/>
          <c:tx>
            <c:strRef>
              <c:f>Parks!$A$3</c:f>
            </c:strRef>
          </c:tx>
          <c:spPr>
            <a:solidFill>
              <a:srgbClr val="33CC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Parks!$B$3:$P$3</c:f>
              <c:numCache/>
            </c:numRef>
          </c:val>
        </c:ser>
        <c:ser>
          <c:idx val="2"/>
          <c:order val="2"/>
          <c:tx>
            <c:strRef>
              <c:f>Parks!$A$4</c:f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Parks!$B$4:$P$4</c:f>
              <c:numCache/>
            </c:numRef>
          </c:val>
        </c:ser>
        <c:ser>
          <c:idx val="3"/>
          <c:order val="3"/>
          <c:tx>
            <c:strRef>
              <c:f>Parks!$A$5</c:f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Parks!$B$5:$P$5</c:f>
              <c:numCache/>
            </c:numRef>
          </c:val>
        </c:ser>
        <c:ser>
          <c:idx val="4"/>
          <c:order val="4"/>
          <c:tx>
            <c:strRef>
              <c:f>Parks!$A$6</c:f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Parks!$B$6:$P$6</c:f>
              <c:numCache/>
            </c:numRef>
          </c:val>
        </c:ser>
        <c:ser>
          <c:idx val="5"/>
          <c:order val="5"/>
          <c:tx>
            <c:strRef>
              <c:f>Parks!$A$7</c:f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99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Parks!$B$1:$P$1</c:f>
              <c:strCache/>
            </c:strRef>
          </c:cat>
          <c:val>
            <c:numRef>
              <c:f>Parks!$B$7:$P$7</c:f>
              <c:numCache/>
            </c:numRef>
          </c:val>
        </c:ser>
        <c:overlap val="100"/>
        <c:gapWidth val="100"/>
        <c:axId val="58309552"/>
        <c:axId val="55023921"/>
      </c:barChart>
      <c:catAx>
        <c:axId val="58309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Neighborhood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3921"/>
        <c:crossesAt val="0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 (higher is better)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552"/>
        <c:crossesAt val="1"/>
        <c:crossBetween val="between"/>
        <c:dispUnits/>
        <c:majorUnit val="4"/>
        <c:minorUnit val="2"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504825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5058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2.57421875" defaultRowHeight="12.75" outlineLevelRow="1"/>
  <cols>
    <col min="1" max="1" width="27.57421875" style="0" customWidth="1"/>
    <col min="2" max="2" width="8.421875" style="0" customWidth="1"/>
    <col min="3" max="3" width="8.28125" style="0" customWidth="1"/>
    <col min="4" max="4" width="7.140625" style="0" customWidth="1"/>
    <col min="5" max="18" width="7.421875" style="0" customWidth="1"/>
    <col min="19" max="16384" width="11.7109375" style="0" customWidth="1"/>
  </cols>
  <sheetData>
    <row r="1" spans="2:18" ht="57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ht="13.5">
      <c r="A2" s="2" t="s">
        <v>17</v>
      </c>
    </row>
    <row r="3" spans="1:18" ht="12.75">
      <c r="A3" s="3" t="s">
        <v>18</v>
      </c>
      <c r="B3" s="4">
        <v>524</v>
      </c>
      <c r="C3" s="5">
        <f>SUM($D3:$R3)</f>
        <v>22.320000000000004</v>
      </c>
      <c r="D3" s="6">
        <v>0.56</v>
      </c>
      <c r="E3" s="6">
        <v>1.78</v>
      </c>
      <c r="F3" s="6">
        <v>0.74</v>
      </c>
      <c r="G3" s="6">
        <v>3.03</v>
      </c>
      <c r="H3" s="6">
        <v>0.61</v>
      </c>
      <c r="I3" s="6">
        <v>1.67</v>
      </c>
      <c r="J3" s="6">
        <v>0.92</v>
      </c>
      <c r="K3" s="6">
        <v>2.57</v>
      </c>
      <c r="L3" s="6">
        <v>2.22</v>
      </c>
      <c r="M3" s="6">
        <v>1.07</v>
      </c>
      <c r="N3" s="6">
        <v>1.21</v>
      </c>
      <c r="O3" s="6">
        <v>1.19</v>
      </c>
      <c r="P3" s="6">
        <v>1.76</v>
      </c>
      <c r="Q3" s="6">
        <v>1.63</v>
      </c>
      <c r="R3" s="7">
        <v>1.36</v>
      </c>
    </row>
    <row r="4" spans="1:18" ht="12.75">
      <c r="A4" s="3" t="s">
        <v>19</v>
      </c>
      <c r="B4" s="8">
        <f>524*(1/0.0015625)</f>
        <v>335360</v>
      </c>
      <c r="C4" s="9">
        <f>SUM($D4:$R4)</f>
        <v>14284.8</v>
      </c>
      <c r="D4" s="9">
        <f>0.56*(1/0.0015625)</f>
        <v>358.40000000000003</v>
      </c>
      <c r="E4" s="9">
        <f>1.78*(1/0.0015625)</f>
        <v>1139.2</v>
      </c>
      <c r="F4" s="9">
        <f>0.74*(1/0.0015625)</f>
        <v>473.6</v>
      </c>
      <c r="G4" s="9">
        <f>3.03*(1/0.0015625)</f>
        <v>1939.1999999999998</v>
      </c>
      <c r="H4" s="9">
        <f>0.61*(1/0.0015625)</f>
        <v>390.4</v>
      </c>
      <c r="I4" s="9">
        <f>1.67*(1/0.0015625)</f>
        <v>1068.8</v>
      </c>
      <c r="J4" s="9">
        <f>0.92*(1/0.0015625)</f>
        <v>588.8000000000001</v>
      </c>
      <c r="K4" s="9">
        <f>2.57*(1/0.0015625)</f>
        <v>1644.8000000000002</v>
      </c>
      <c r="L4" s="9">
        <f>2.22*(1/0.0015625)</f>
        <v>1420.8000000000002</v>
      </c>
      <c r="M4" s="9">
        <f>1.07*(1/0.0015625)</f>
        <v>684.8000000000001</v>
      </c>
      <c r="N4" s="9">
        <f>1.21*(1/0.0015625)</f>
        <v>774.4</v>
      </c>
      <c r="O4" s="9">
        <f>1.19*(1/0.0015625)</f>
        <v>761.5999999999999</v>
      </c>
      <c r="P4" s="9">
        <f>1.76*(1/0.0015625)</f>
        <v>1126.4</v>
      </c>
      <c r="Q4" s="9">
        <f>1.63*(1/0.0015625)</f>
        <v>1043.1999999999998</v>
      </c>
      <c r="R4" s="10">
        <f>1.36*(1/0.0015625)</f>
        <v>870.3999999999999</v>
      </c>
    </row>
    <row r="5" spans="1:18" ht="12.75" outlineLevel="1">
      <c r="A5" s="11" t="s">
        <v>20</v>
      </c>
      <c r="B5" s="12"/>
      <c r="C5" s="13"/>
      <c r="D5" s="14">
        <f>RANK(D$4,$D$4:$R$4,1)</f>
        <v>1</v>
      </c>
      <c r="E5" s="14">
        <f>RANK(E$4,$D$4:$R$4,1)</f>
        <v>12</v>
      </c>
      <c r="F5" s="14">
        <f>RANK(F$4,$D$4:$R$4,1)</f>
        <v>3</v>
      </c>
      <c r="G5" s="14">
        <f>RANK(G$4,$D$4:$R$4,1)</f>
        <v>15</v>
      </c>
      <c r="H5" s="14">
        <f>RANK(H$4,$D$4:$R$4,1)</f>
        <v>2</v>
      </c>
      <c r="I5" s="14">
        <f>RANK(I$4,$D$4:$R$4,1)</f>
        <v>10</v>
      </c>
      <c r="J5" s="14">
        <f>RANK(J$4,$D$4:$R$4,1)</f>
        <v>4</v>
      </c>
      <c r="K5" s="14">
        <f>RANK(K$4,$D$4:$R$4,1)</f>
        <v>14</v>
      </c>
      <c r="L5" s="14">
        <f>RANK(L$4,$D$4:$R$4,1)</f>
        <v>13</v>
      </c>
      <c r="M5" s="14">
        <f>RANK(M$4,$D$4:$R$4,1)</f>
        <v>5</v>
      </c>
      <c r="N5" s="14">
        <f>RANK(N$4,$D$4:$R$4,1)</f>
        <v>7</v>
      </c>
      <c r="O5" s="14">
        <f>RANK(O$4,$D$4:$R$4,1)</f>
        <v>6</v>
      </c>
      <c r="P5" s="14">
        <f>RANK(P$4,$D$4:$R$4,1)</f>
        <v>11</v>
      </c>
      <c r="Q5" s="14">
        <f>RANK(Q$4,$D$4:$R$4,1)</f>
        <v>9</v>
      </c>
      <c r="R5" s="14">
        <f>RANK(R$4,$D$4:$R$4,1)</f>
        <v>8</v>
      </c>
    </row>
    <row r="6" spans="1:18" ht="12.7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3.5">
      <c r="A7" s="2" t="s">
        <v>21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3" t="s">
        <v>22</v>
      </c>
      <c r="B8" s="22">
        <v>620000</v>
      </c>
      <c r="C8" s="23">
        <f>SUM($D8:$R8)</f>
        <v>33320</v>
      </c>
      <c r="D8" s="24">
        <v>1060</v>
      </c>
      <c r="E8" s="24">
        <v>2820</v>
      </c>
      <c r="F8" s="24">
        <v>970</v>
      </c>
      <c r="G8" s="24">
        <v>1570</v>
      </c>
      <c r="H8" s="24">
        <v>1810</v>
      </c>
      <c r="I8" s="24">
        <v>2080</v>
      </c>
      <c r="J8" s="24">
        <v>1610</v>
      </c>
      <c r="K8" s="24">
        <v>3660</v>
      </c>
      <c r="L8" s="24">
        <v>1900</v>
      </c>
      <c r="M8" s="24">
        <v>2460</v>
      </c>
      <c r="N8" s="24">
        <v>1860</v>
      </c>
      <c r="O8" s="24">
        <v>2380</v>
      </c>
      <c r="P8" s="24">
        <v>4880</v>
      </c>
      <c r="Q8" s="24">
        <v>2360</v>
      </c>
      <c r="R8" s="24">
        <v>1900</v>
      </c>
    </row>
    <row r="9" spans="1:18" ht="12.75" outlineLevel="1">
      <c r="A9" s="11" t="s">
        <v>23</v>
      </c>
      <c r="B9" s="25"/>
      <c r="C9" s="26"/>
      <c r="D9" s="14">
        <f>RANK(D$8,$D$8:$R$8,1)</f>
        <v>2</v>
      </c>
      <c r="E9" s="14">
        <f>RANK(E$8,$D$8:$R$8,1)</f>
        <v>13</v>
      </c>
      <c r="F9" s="14">
        <f>RANK(F$8,$D$8:$R$8,1)</f>
        <v>1</v>
      </c>
      <c r="G9" s="14">
        <f>RANK(G$8,$D$8:$R$8,1)</f>
        <v>3</v>
      </c>
      <c r="H9" s="14">
        <f>RANK(H$8,$D$8:$R$8,1)</f>
        <v>5</v>
      </c>
      <c r="I9" s="14">
        <f>RANK(I$8,$D$8:$R$8,1)</f>
        <v>9</v>
      </c>
      <c r="J9" s="14">
        <f>RANK(J$8,$D$8:$R$8,1)</f>
        <v>4</v>
      </c>
      <c r="K9" s="14">
        <f>RANK(K$8,$D$8:$R$8,1)</f>
        <v>14</v>
      </c>
      <c r="L9" s="14">
        <f>RANK(L$8,$D$8:$R$8,1)</f>
        <v>7</v>
      </c>
      <c r="M9" s="14">
        <f>RANK(M$8,$D$8:$R$8,1)</f>
        <v>12</v>
      </c>
      <c r="N9" s="14">
        <f>RANK(N$8,$D$8:$R$8,1)</f>
        <v>6</v>
      </c>
      <c r="O9" s="14">
        <f>RANK(O$8,$D$8:$R$8,1)</f>
        <v>11</v>
      </c>
      <c r="P9" s="14">
        <f>RANK(P$8,$D$8:$R$8,1)</f>
        <v>15</v>
      </c>
      <c r="Q9" s="14">
        <f>RANK(Q$8,$D$8:$R$8,1)</f>
        <v>10</v>
      </c>
      <c r="R9" s="14">
        <f>RANK(R$8,$D$8:$R$8,1)</f>
        <v>7</v>
      </c>
    </row>
    <row r="10" spans="1:18" ht="12.75">
      <c r="A10" s="3" t="s">
        <v>24</v>
      </c>
      <c r="B10" s="6">
        <f>B$8/B$4</f>
        <v>1.848759541984733</v>
      </c>
      <c r="C10" s="6">
        <f>AVERAGE($D10:$R10)</f>
        <v>2.6044464852326703</v>
      </c>
      <c r="D10" s="6">
        <f>D$8/D$4</f>
        <v>2.9575892857142856</v>
      </c>
      <c r="E10" s="6">
        <f>E$8/E$4</f>
        <v>2.475421348314607</v>
      </c>
      <c r="F10" s="6">
        <f>F$8/F$4</f>
        <v>2.0481418918918917</v>
      </c>
      <c r="G10" s="6">
        <f>G$8/G$4</f>
        <v>0.8096122112211221</v>
      </c>
      <c r="H10" s="6">
        <f>H$8/H$4</f>
        <v>4.636270491803279</v>
      </c>
      <c r="I10" s="6">
        <f>I$8/I$4</f>
        <v>1.9461077844311379</v>
      </c>
      <c r="J10" s="6">
        <f>J$8/J$4</f>
        <v>2.7343749999999996</v>
      </c>
      <c r="K10" s="6">
        <f>K$8/K$4</f>
        <v>2.2251945525291825</v>
      </c>
      <c r="L10" s="6">
        <f>L$8/L$4</f>
        <v>1.3372747747747746</v>
      </c>
      <c r="M10" s="6">
        <f>M$8/M$4</f>
        <v>3.592289719626168</v>
      </c>
      <c r="N10" s="6">
        <f>N$8/N$4</f>
        <v>2.4018595041322315</v>
      </c>
      <c r="O10" s="6">
        <f>O$8/O$4</f>
        <v>3.1250000000000004</v>
      </c>
      <c r="P10" s="6">
        <f>P$8/P$4</f>
        <v>4.332386363636363</v>
      </c>
      <c r="Q10" s="6">
        <f>Q$8/Q$4</f>
        <v>2.262269938650307</v>
      </c>
      <c r="R10" s="6">
        <f>R$8/R$4</f>
        <v>2.182904411764706</v>
      </c>
    </row>
    <row r="11" spans="1:18" ht="12.75" outlineLevel="1">
      <c r="A11" s="11" t="s">
        <v>23</v>
      </c>
      <c r="B11" s="12"/>
      <c r="C11" s="13"/>
      <c r="D11" s="14">
        <f>RANK(D$10,$D$10:$R$10,1)</f>
        <v>11</v>
      </c>
      <c r="E11" s="14">
        <f>RANK(E$10,$D$10:$R$10,1)</f>
        <v>9</v>
      </c>
      <c r="F11" s="14">
        <f>RANK(F$10,$D$10:$R$10,1)</f>
        <v>4</v>
      </c>
      <c r="G11" s="14">
        <f>RANK(G$10,$D$10:$R$10,1)</f>
        <v>1</v>
      </c>
      <c r="H11" s="14">
        <f>RANK(H$10,$D$10:$R$10,1)</f>
        <v>15</v>
      </c>
      <c r="I11" s="14">
        <f>RANK(I$10,$D$10:$R$10,1)</f>
        <v>3</v>
      </c>
      <c r="J11" s="14">
        <f>RANK(J$10,$D$10:$R$10,1)</f>
        <v>10</v>
      </c>
      <c r="K11" s="14">
        <f>RANK(K$10,$D$10:$R$10,1)</f>
        <v>6</v>
      </c>
      <c r="L11" s="14">
        <f>RANK(L$10,$D$10:$R$10,1)</f>
        <v>2</v>
      </c>
      <c r="M11" s="14">
        <f>RANK(M$10,$D$10:$R$10,1)</f>
        <v>13</v>
      </c>
      <c r="N11" s="14">
        <f>RANK(N$10,$D$10:$R$10,1)</f>
        <v>8</v>
      </c>
      <c r="O11" s="14">
        <f>RANK(O$10,$D$10:$R$10,1)</f>
        <v>12</v>
      </c>
      <c r="P11" s="14">
        <f>RANK(P$10,$D$10:$R$10,1)</f>
        <v>14</v>
      </c>
      <c r="Q11" s="14">
        <f>RANK(Q$10,$D$10:$R$10,1)</f>
        <v>7</v>
      </c>
      <c r="R11" s="14">
        <f>RANK(R$10,$D$10:$R$10,1)</f>
        <v>5</v>
      </c>
    </row>
    <row r="12" spans="1:18" ht="12.75">
      <c r="A12" s="15"/>
      <c r="B12" s="1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3.5">
      <c r="A13" s="2" t="s">
        <v>25</v>
      </c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3" t="s">
        <v>26</v>
      </c>
      <c r="B14" s="27">
        <v>1650000</v>
      </c>
      <c r="C14" s="23">
        <f>SUM($D14:$R14)</f>
        <v>90100</v>
      </c>
      <c r="D14" s="23">
        <v>2840</v>
      </c>
      <c r="E14" s="23">
        <v>7720</v>
      </c>
      <c r="F14" s="23">
        <v>2620</v>
      </c>
      <c r="G14" s="23">
        <v>4540</v>
      </c>
      <c r="H14" s="23">
        <v>4440</v>
      </c>
      <c r="I14" s="23">
        <v>6060</v>
      </c>
      <c r="J14" s="23">
        <v>3910</v>
      </c>
      <c r="K14" s="23">
        <v>9670</v>
      </c>
      <c r="L14" s="23">
        <v>4730</v>
      </c>
      <c r="M14" s="23">
        <v>6100</v>
      </c>
      <c r="N14" s="23">
        <v>4700</v>
      </c>
      <c r="O14" s="23">
        <v>6540</v>
      </c>
      <c r="P14" s="23">
        <v>14500</v>
      </c>
      <c r="Q14" s="23">
        <v>6820</v>
      </c>
      <c r="R14" s="24">
        <v>4910</v>
      </c>
    </row>
    <row r="15" spans="1:18" ht="12.75" outlineLevel="1">
      <c r="A15" s="11" t="s">
        <v>27</v>
      </c>
      <c r="B15" s="28"/>
      <c r="C15" s="26"/>
      <c r="D15" s="14">
        <f>RANK(D$14,$D$14:$R$14,1)</f>
        <v>2</v>
      </c>
      <c r="E15" s="14">
        <f>RANK(E$14,$D$14:$R$14,1)</f>
        <v>13</v>
      </c>
      <c r="F15" s="14">
        <f>RANK(F$14,$D$14:$R$14,1)</f>
        <v>1</v>
      </c>
      <c r="G15" s="14">
        <f>RANK(G$14,$D$14:$R$14,1)</f>
        <v>5</v>
      </c>
      <c r="H15" s="14">
        <f>RANK(H$14,$D$14:$R$14,1)</f>
        <v>4</v>
      </c>
      <c r="I15" s="14">
        <f>RANK(I$14,$D$14:$R$14,1)</f>
        <v>9</v>
      </c>
      <c r="J15" s="14">
        <f>RANK(J$14,$D$14:$R$14,1)</f>
        <v>3</v>
      </c>
      <c r="K15" s="14">
        <f>RANK(K$14,$D$14:$R$14,1)</f>
        <v>14</v>
      </c>
      <c r="L15" s="14">
        <f>RANK(L$14,$D$14:$R$14,1)</f>
        <v>7</v>
      </c>
      <c r="M15" s="14">
        <f>RANK(M$14,$D$14:$R$14,1)</f>
        <v>10</v>
      </c>
      <c r="N15" s="14">
        <f>RANK(N$14,$D$14:$R$14,1)</f>
        <v>6</v>
      </c>
      <c r="O15" s="14">
        <f>RANK(O$14,$D$14:$R$14,1)</f>
        <v>11</v>
      </c>
      <c r="P15" s="14">
        <f>RANK(P$14,$D$14:$R$14,1)</f>
        <v>15</v>
      </c>
      <c r="Q15" s="14">
        <f>RANK(Q$14,$D$14:$R$14,1)</f>
        <v>12</v>
      </c>
      <c r="R15" s="14">
        <f>RANK(R$14,$D$14:$R$14,1)</f>
        <v>8</v>
      </c>
    </row>
    <row r="16" spans="1:18" ht="12.75">
      <c r="A16" s="3" t="s">
        <v>28</v>
      </c>
      <c r="B16" s="6">
        <f>B$14/B$4</f>
        <v>4.920085877862595</v>
      </c>
      <c r="C16" s="6">
        <f>AVERAGE($D16:$R16)</f>
        <v>6.938761996217907</v>
      </c>
      <c r="D16" s="6">
        <f>D$14/D$4</f>
        <v>7.924107142857142</v>
      </c>
      <c r="E16" s="6">
        <f>E$14/E$4</f>
        <v>6.776685393258426</v>
      </c>
      <c r="F16" s="6">
        <f>F$14/F$4</f>
        <v>5.532094594594595</v>
      </c>
      <c r="G16" s="6">
        <f>G$14/G$4</f>
        <v>2.3411716171617165</v>
      </c>
      <c r="H16" s="6">
        <f>H$14/H$4</f>
        <v>11.372950819672132</v>
      </c>
      <c r="I16" s="6">
        <f>I$14/I$4</f>
        <v>5.669910179640719</v>
      </c>
      <c r="J16" s="6">
        <f>J$14/J$4</f>
        <v>6.640624999999999</v>
      </c>
      <c r="K16" s="6">
        <f>K$14/K$4</f>
        <v>5.8791342412451355</v>
      </c>
      <c r="L16" s="6">
        <f>L$14/L$4</f>
        <v>3.32911036036036</v>
      </c>
      <c r="M16" s="6">
        <f>M$14/M$4</f>
        <v>8.90771028037383</v>
      </c>
      <c r="N16" s="6">
        <f>N$14/N$4</f>
        <v>6.069214876033058</v>
      </c>
      <c r="O16" s="6">
        <f>O$14/O$4</f>
        <v>8.587184873949582</v>
      </c>
      <c r="P16" s="6">
        <f>P$14/P$4</f>
        <v>12.872869318181817</v>
      </c>
      <c r="Q16" s="6">
        <f>Q$14/Q$4</f>
        <v>6.537576687116566</v>
      </c>
      <c r="R16" s="6">
        <f>R$14/R$4</f>
        <v>5.64108455882353</v>
      </c>
    </row>
    <row r="17" spans="1:18" ht="12.75" outlineLevel="1">
      <c r="A17" s="11" t="s">
        <v>23</v>
      </c>
      <c r="B17" s="28"/>
      <c r="C17" s="26"/>
      <c r="D17" s="14">
        <f>RANK(D$16,$D$16:$R$16,1)</f>
        <v>11</v>
      </c>
      <c r="E17" s="14">
        <f>RANK(E$16,$D$16:$R$16,1)</f>
        <v>10</v>
      </c>
      <c r="F17" s="14">
        <f>RANK(F$16,$D$16:$R$16,1)</f>
        <v>3</v>
      </c>
      <c r="G17" s="14">
        <f>RANK(G$16,$D$16:$R$16,1)</f>
        <v>1</v>
      </c>
      <c r="H17" s="14">
        <f>RANK(H$16,$D$16:$R$16,1)</f>
        <v>14</v>
      </c>
      <c r="I17" s="14">
        <f>RANK(I$16,$D$16:$R$16,1)</f>
        <v>5</v>
      </c>
      <c r="J17" s="14">
        <f>RANK(J$16,$D$16:$R$16,1)</f>
        <v>9</v>
      </c>
      <c r="K17" s="14">
        <f>RANK(K$16,$D$16:$R$16,1)</f>
        <v>6</v>
      </c>
      <c r="L17" s="14">
        <f>RANK(L$16,$D$16:$R$16,1)</f>
        <v>2</v>
      </c>
      <c r="M17" s="14">
        <f>RANK(M$16,$D$16:$R$16,1)</f>
        <v>13</v>
      </c>
      <c r="N17" s="14">
        <f>RANK(N$16,$D$16:$R$16,1)</f>
        <v>7</v>
      </c>
      <c r="O17" s="14">
        <f>RANK(O$16,$D$16:$R$16,1)</f>
        <v>12</v>
      </c>
      <c r="P17" s="14">
        <f>RANK(P$16,$D$16:$R$16,1)</f>
        <v>15</v>
      </c>
      <c r="Q17" s="14">
        <f>RANK(Q$16,$D$16:$R$16,1)</f>
        <v>8</v>
      </c>
      <c r="R17" s="14">
        <f>RANK(R$16,$D$16:$R$16,1)</f>
        <v>4</v>
      </c>
    </row>
    <row r="18" spans="1:18" ht="12.75">
      <c r="A18" s="3" t="s">
        <v>29</v>
      </c>
      <c r="B18" s="6">
        <f>B$14/B$8</f>
        <v>2.661290322580645</v>
      </c>
      <c r="C18" s="6">
        <f>AVERAGE($D18:$R18)</f>
        <v>2.675734308240676</v>
      </c>
      <c r="D18" s="6">
        <f>D$14/D$8</f>
        <v>2.6792452830188678</v>
      </c>
      <c r="E18" s="6">
        <f>E$14/E$8</f>
        <v>2.7375886524822697</v>
      </c>
      <c r="F18" s="6">
        <f>F$14/F$8</f>
        <v>2.7010309278350517</v>
      </c>
      <c r="G18" s="6">
        <f>G$14/G$8</f>
        <v>2.8917197452229297</v>
      </c>
      <c r="H18" s="6">
        <f>H$14/H$8</f>
        <v>2.453038674033149</v>
      </c>
      <c r="I18" s="6">
        <f>I$14/I$8</f>
        <v>2.9134615384615383</v>
      </c>
      <c r="J18" s="6">
        <f>J$14/J$8</f>
        <v>2.4285714285714284</v>
      </c>
      <c r="K18" s="6">
        <f>K$14/K$8</f>
        <v>2.6420765027322406</v>
      </c>
      <c r="L18" s="6">
        <f>L$14/L$8</f>
        <v>2.4894736842105263</v>
      </c>
      <c r="M18" s="6">
        <f>M$14/M$8</f>
        <v>2.4796747967479673</v>
      </c>
      <c r="N18" s="6">
        <f>N$14/N$8</f>
        <v>2.5268817204301075</v>
      </c>
      <c r="O18" s="6">
        <f>O$14/O$8</f>
        <v>2.7478991596638656</v>
      </c>
      <c r="P18" s="6">
        <f>P$14/P$8</f>
        <v>2.971311475409836</v>
      </c>
      <c r="Q18" s="6">
        <f>Q$14/Q$8</f>
        <v>2.889830508474576</v>
      </c>
      <c r="R18" s="6">
        <f>R$14/R$8</f>
        <v>2.5842105263157893</v>
      </c>
    </row>
    <row r="19" spans="1:18" ht="12.75" outlineLevel="1">
      <c r="A19" s="11" t="s">
        <v>23</v>
      </c>
      <c r="B19" s="28"/>
      <c r="C19" s="26"/>
      <c r="D19" s="14">
        <f>RANK(D$18,$D$18:$R$18,1)</f>
        <v>8</v>
      </c>
      <c r="E19" s="14">
        <f>RANK(E$18,$D$18:$R$18,1)</f>
        <v>10</v>
      </c>
      <c r="F19" s="14">
        <f>RANK(F$18,$D$18:$R$18,1)</f>
        <v>9</v>
      </c>
      <c r="G19" s="14">
        <f>RANK(G$18,$D$18:$R$18,1)</f>
        <v>13</v>
      </c>
      <c r="H19" s="14">
        <f>RANK(H$18,$D$18:$R$18,1)</f>
        <v>2</v>
      </c>
      <c r="I19" s="14">
        <f>RANK(I$18,$D$18:$R$18,1)</f>
        <v>14</v>
      </c>
      <c r="J19" s="14">
        <f>RANK(J$18,$D$18:$R$18,1)</f>
        <v>1</v>
      </c>
      <c r="K19" s="14">
        <f>RANK(K$18,$D$18:$R$18,1)</f>
        <v>7</v>
      </c>
      <c r="L19" s="14">
        <f>RANK(L$18,$D$18:$R$18,1)</f>
        <v>4</v>
      </c>
      <c r="M19" s="14">
        <f>RANK(M$18,$D$18:$R$18,1)</f>
        <v>3</v>
      </c>
      <c r="N19" s="14">
        <f>RANK(N$18,$D$18:$R$18,1)</f>
        <v>5</v>
      </c>
      <c r="O19" s="14">
        <f>RANK(O$18,$D$18:$R$18,1)</f>
        <v>11</v>
      </c>
      <c r="P19" s="14">
        <f>RANK(P$18,$D$18:$R$18,1)</f>
        <v>15</v>
      </c>
      <c r="Q19" s="14">
        <f>RANK(Q$18,$D$18:$R$18,1)</f>
        <v>12</v>
      </c>
      <c r="R19" s="14">
        <f>RANK(R$18,$D$18:$R$18,1)</f>
        <v>6</v>
      </c>
    </row>
    <row r="20" spans="1:18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3.5">
      <c r="A21" s="2" t="s">
        <v>30</v>
      </c>
      <c r="B21" s="19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>
      <c r="A22" s="3" t="s">
        <v>31</v>
      </c>
      <c r="B22" s="23">
        <v>153000</v>
      </c>
      <c r="C22" s="23">
        <f>SUM($D22:$R22)</f>
        <v>10988</v>
      </c>
      <c r="D22" s="23">
        <v>354</v>
      </c>
      <c r="E22" s="23">
        <v>912</v>
      </c>
      <c r="F22" s="23">
        <v>527</v>
      </c>
      <c r="G22" s="23">
        <v>267</v>
      </c>
      <c r="H22" s="23">
        <v>429</v>
      </c>
      <c r="I22" s="23">
        <v>325</v>
      </c>
      <c r="J22" s="23">
        <v>289</v>
      </c>
      <c r="K22" s="23">
        <v>1125</v>
      </c>
      <c r="L22" s="23">
        <v>548</v>
      </c>
      <c r="M22" s="23">
        <v>682</v>
      </c>
      <c r="N22" s="23">
        <v>440</v>
      </c>
      <c r="O22" s="23">
        <v>629</v>
      </c>
      <c r="P22" s="23">
        <v>3606</v>
      </c>
      <c r="Q22" s="23">
        <v>213</v>
      </c>
      <c r="R22" s="24">
        <v>642</v>
      </c>
    </row>
    <row r="23" spans="1:18" ht="12.75" outlineLevel="1">
      <c r="A23" s="11" t="s">
        <v>23</v>
      </c>
      <c r="B23" s="28"/>
      <c r="C23" s="26"/>
      <c r="D23" s="14">
        <f>RANK(D$22,$D$22:$R$22,1)</f>
        <v>5</v>
      </c>
      <c r="E23" s="14">
        <f>RANK(E$22,$D$22:$R$22,1)</f>
        <v>13</v>
      </c>
      <c r="F23" s="14">
        <f>RANK(F$22,$D$22:$R$22,1)</f>
        <v>8</v>
      </c>
      <c r="G23" s="14">
        <f>RANK(G$22,$D$22:$R$22,1)</f>
        <v>2</v>
      </c>
      <c r="H23" s="14">
        <f>RANK(H$22,$D$22:$R$22,1)</f>
        <v>6</v>
      </c>
      <c r="I23" s="14">
        <f>RANK(I$22,$D$22:$R$22,1)</f>
        <v>4</v>
      </c>
      <c r="J23" s="14">
        <f>RANK(J$22,$D$22:$R$22,1)</f>
        <v>3</v>
      </c>
      <c r="K23" s="14">
        <f>RANK(K$22,$D$22:$R$22,1)</f>
        <v>14</v>
      </c>
      <c r="L23" s="14">
        <f>RANK(L$22,$D$22:$R$22,1)</f>
        <v>9</v>
      </c>
      <c r="M23" s="14">
        <f>RANK(M$22,$D$22:$R$22,1)</f>
        <v>12</v>
      </c>
      <c r="N23" s="14">
        <f>RANK(N$22,$D$22:$R$22,1)</f>
        <v>7</v>
      </c>
      <c r="O23" s="14">
        <f>RANK(O$22,$D$22:$R$22,1)</f>
        <v>10</v>
      </c>
      <c r="P23" s="14">
        <f>RANK(P$22,$D$22:$R$22,1)</f>
        <v>15</v>
      </c>
      <c r="Q23" s="14">
        <f>RANK(Q$22,$D$22:$R$22,1)</f>
        <v>1</v>
      </c>
      <c r="R23" s="14">
        <f>RANK(R$22,$D$22:$R$22,1)</f>
        <v>11</v>
      </c>
    </row>
    <row r="24" spans="1:18" ht="12.75">
      <c r="A24" s="3" t="str">
        <f>"%'age of pop. in poverty"</f>
        <v>%'age of pop. in poverty</v>
      </c>
      <c r="B24" s="29">
        <f>B$22/B$14</f>
        <v>0.09272727272727273</v>
      </c>
      <c r="C24" s="29">
        <f>AVERAGE($D24:$R24)</f>
        <v>0.11142474882576105</v>
      </c>
      <c r="D24" s="29">
        <f>D$22/D$14</f>
        <v>0.12464788732394366</v>
      </c>
      <c r="E24" s="29">
        <f>E$22/E$14</f>
        <v>0.11813471502590674</v>
      </c>
      <c r="F24" s="29">
        <f>F$22/F$14</f>
        <v>0.20114503816793894</v>
      </c>
      <c r="G24" s="29">
        <f>G$22/G$14</f>
        <v>0.05881057268722467</v>
      </c>
      <c r="H24" s="29">
        <f>H$22/H$14</f>
        <v>0.09662162162162162</v>
      </c>
      <c r="I24" s="29">
        <f>I$22/I$14</f>
        <v>0.05363036303630363</v>
      </c>
      <c r="J24" s="29">
        <f>J$22/J$14</f>
        <v>0.07391304347826087</v>
      </c>
      <c r="K24" s="29">
        <f>K$22/K$14</f>
        <v>0.11633919338159256</v>
      </c>
      <c r="L24" s="29">
        <f>L$22/L$14</f>
        <v>0.11585623678646935</v>
      </c>
      <c r="M24" s="29">
        <f>M$22/M$14</f>
        <v>0.11180327868852459</v>
      </c>
      <c r="N24" s="29">
        <f>N$22/N$14</f>
        <v>0.09361702127659574</v>
      </c>
      <c r="O24" s="29">
        <f>O$22/O$14</f>
        <v>0.09617737003058104</v>
      </c>
      <c r="P24" s="29">
        <f>P$22/P$14</f>
        <v>0.2486896551724138</v>
      </c>
      <c r="Q24" s="29">
        <f>Q$22/Q$14</f>
        <v>0.0312316715542522</v>
      </c>
      <c r="R24" s="29">
        <f>R$22/R$14</f>
        <v>0.13075356415478614</v>
      </c>
    </row>
    <row r="25" spans="1:18" ht="12.75" outlineLevel="1">
      <c r="A25" s="11" t="s">
        <v>23</v>
      </c>
      <c r="B25" s="28"/>
      <c r="C25" s="26"/>
      <c r="D25" s="14">
        <f>RANK(D$24,$D$24:$R$24,1)</f>
        <v>12</v>
      </c>
      <c r="E25" s="14">
        <f>RANK(E$24,$D$24:$R$24,1)</f>
        <v>11</v>
      </c>
      <c r="F25" s="14">
        <f>RANK(F$24,$D$24:$R$24,1)</f>
        <v>14</v>
      </c>
      <c r="G25" s="14">
        <f>RANK(G$24,$D$24:$R$24,1)</f>
        <v>3</v>
      </c>
      <c r="H25" s="14">
        <f>RANK(H$24,$D$24:$R$24,1)</f>
        <v>7</v>
      </c>
      <c r="I25" s="14">
        <f>RANK(I$24,$D$24:$R$24,1)</f>
        <v>2</v>
      </c>
      <c r="J25" s="14">
        <f>RANK(J$24,$D$24:$R$24,1)</f>
        <v>4</v>
      </c>
      <c r="K25" s="14">
        <f>RANK(K$24,$D$24:$R$24,1)</f>
        <v>10</v>
      </c>
      <c r="L25" s="14">
        <f>RANK(L$24,$D$24:$R$24,1)</f>
        <v>9</v>
      </c>
      <c r="M25" s="14">
        <f>RANK(M$24,$D$24:$R$24,1)</f>
        <v>8</v>
      </c>
      <c r="N25" s="14">
        <f>RANK(N$24,$D$24:$R$24,1)</f>
        <v>5</v>
      </c>
      <c r="O25" s="14">
        <f>RANK(O$24,$D$24:$R$24,1)</f>
        <v>6</v>
      </c>
      <c r="P25" s="14">
        <f>RANK(P$24,$D$24:$R$24,1)</f>
        <v>15</v>
      </c>
      <c r="Q25" s="14">
        <f>RANK(Q$24,$D$24:$R$24,1)</f>
        <v>1</v>
      </c>
      <c r="R25" s="14">
        <f>RANK(R$24,$D$24:$R$24,1)</f>
        <v>13</v>
      </c>
    </row>
    <row r="26" spans="1:18" ht="12.75" outlineLevel="1">
      <c r="A26" s="11" t="s">
        <v>32</v>
      </c>
      <c r="B26" s="28"/>
      <c r="C26" s="26"/>
      <c r="D26" s="14">
        <v>3</v>
      </c>
      <c r="E26" s="14">
        <v>3</v>
      </c>
      <c r="F26" s="14">
        <v>4</v>
      </c>
      <c r="G26" s="14">
        <v>2</v>
      </c>
      <c r="H26" s="14">
        <v>2</v>
      </c>
      <c r="I26" s="14">
        <v>1</v>
      </c>
      <c r="J26" s="14">
        <v>2</v>
      </c>
      <c r="K26" s="14">
        <v>3</v>
      </c>
      <c r="L26" s="14">
        <v>3</v>
      </c>
      <c r="M26" s="14">
        <v>3</v>
      </c>
      <c r="N26" s="14">
        <v>2</v>
      </c>
      <c r="O26" s="14">
        <v>2</v>
      </c>
      <c r="P26" s="14">
        <v>4</v>
      </c>
      <c r="Q26" s="14">
        <v>1</v>
      </c>
      <c r="R26" s="14">
        <v>3</v>
      </c>
    </row>
    <row r="27" spans="1:18" ht="12.75">
      <c r="A27" s="3" t="str">
        <f>"%'age of poor under 18"</f>
        <v>%'age of poor under 18</v>
      </c>
      <c r="B27" s="29">
        <v>0.122</v>
      </c>
      <c r="C27" s="29">
        <f>AVERAGE($D27:$R27)</f>
        <v>0.15553333333333327</v>
      </c>
      <c r="D27" s="29">
        <v>0.17</v>
      </c>
      <c r="E27" s="29">
        <v>0.161</v>
      </c>
      <c r="F27" s="29">
        <v>0.306</v>
      </c>
      <c r="G27" s="29">
        <v>0.064</v>
      </c>
      <c r="H27" s="29">
        <v>0.09300000000000001</v>
      </c>
      <c r="I27" s="29">
        <v>0.06</v>
      </c>
      <c r="J27" s="29">
        <v>0.08900000000000001</v>
      </c>
      <c r="K27" s="29">
        <v>0.188</v>
      </c>
      <c r="L27" s="29">
        <v>0.20199999999999999</v>
      </c>
      <c r="M27" s="29">
        <v>0.158</v>
      </c>
      <c r="N27" s="29">
        <v>0.14300000000000002</v>
      </c>
      <c r="O27" s="29">
        <v>0.11199999999999999</v>
      </c>
      <c r="P27" s="29">
        <v>0.36</v>
      </c>
      <c r="Q27" s="29">
        <v>0.027000000000000003</v>
      </c>
      <c r="R27" s="29">
        <v>0.2</v>
      </c>
    </row>
    <row r="28" spans="1:18" ht="12.75" outlineLevel="1">
      <c r="A28" s="11" t="s">
        <v>27</v>
      </c>
      <c r="B28" s="28"/>
      <c r="C28" s="26"/>
      <c r="D28" s="14">
        <f>RANK(D$27,$D$27:$R$27,1)</f>
        <v>10</v>
      </c>
      <c r="E28" s="14">
        <f>RANK(E$27,$D$27:$R$27,1)</f>
        <v>9</v>
      </c>
      <c r="F28" s="14">
        <f>RANK(F$27,$D$27:$R$27,1)</f>
        <v>14</v>
      </c>
      <c r="G28" s="14">
        <f>RANK(G$27,$D$27:$R$27,1)</f>
        <v>3</v>
      </c>
      <c r="H28" s="14">
        <f>RANK(H$27,$D$27:$R$27,1)</f>
        <v>5</v>
      </c>
      <c r="I28" s="14">
        <f>RANK(I$27,$D$27:$R$27,1)</f>
        <v>2</v>
      </c>
      <c r="J28" s="14">
        <f>RANK(J$27,$D$27:$R$27,1)</f>
        <v>4</v>
      </c>
      <c r="K28" s="14">
        <f>RANK(K$27,$D$27:$R$27,1)</f>
        <v>11</v>
      </c>
      <c r="L28" s="14">
        <f>RANK(L$27,$D$27:$R$27,1)</f>
        <v>13</v>
      </c>
      <c r="M28" s="14">
        <f>RANK(M$27,$D$27:$R$27,1)</f>
        <v>8</v>
      </c>
      <c r="N28" s="14">
        <f>RANK(N$27,$D$27:$R$27,1)</f>
        <v>7</v>
      </c>
      <c r="O28" s="14">
        <f>RANK(O$27,$D$27:$R$27,1)</f>
        <v>6</v>
      </c>
      <c r="P28" s="14">
        <f>RANK(P$27,$D$27:$R$27,1)</f>
        <v>15</v>
      </c>
      <c r="Q28" s="14">
        <f>RANK(Q$27,$D$27:$R$27,1)</f>
        <v>1</v>
      </c>
      <c r="R28" s="14">
        <f>RANK(R$27,$D$27:$R$27,1)</f>
        <v>12</v>
      </c>
    </row>
    <row r="29" spans="1:18" ht="12.75" outlineLevel="1">
      <c r="A29" s="11" t="s">
        <v>32</v>
      </c>
      <c r="B29" s="28"/>
      <c r="C29" s="26"/>
      <c r="D29" s="14">
        <v>3</v>
      </c>
      <c r="E29" s="14">
        <v>3</v>
      </c>
      <c r="F29" s="14">
        <v>4</v>
      </c>
      <c r="G29" s="14">
        <v>2</v>
      </c>
      <c r="H29" s="14">
        <v>2</v>
      </c>
      <c r="I29" s="14">
        <v>2</v>
      </c>
      <c r="J29" s="14">
        <v>2</v>
      </c>
      <c r="K29" s="14">
        <v>3</v>
      </c>
      <c r="L29" s="14">
        <v>4</v>
      </c>
      <c r="M29" s="14">
        <v>3</v>
      </c>
      <c r="N29" s="14">
        <v>3</v>
      </c>
      <c r="O29" s="14">
        <v>2</v>
      </c>
      <c r="P29" s="14">
        <v>4</v>
      </c>
      <c r="Q29" s="14">
        <v>1</v>
      </c>
      <c r="R29" s="14">
        <v>4</v>
      </c>
    </row>
    <row r="30" spans="1:18" ht="12.75">
      <c r="A30" s="3" t="str">
        <f>"%'age of households w/o vehicle"</f>
        <v>%'age of households w/o vehicle</v>
      </c>
      <c r="B30" s="29">
        <v>0.08900000000000001</v>
      </c>
      <c r="C30" s="29">
        <f>AVERAGE($D30:$R30)</f>
        <v>0.06999999999999999</v>
      </c>
      <c r="D30" s="29">
        <v>0.039</v>
      </c>
      <c r="E30" s="29">
        <v>0.12400000000000001</v>
      </c>
      <c r="F30" s="29">
        <v>0.102</v>
      </c>
      <c r="G30" s="29">
        <v>0.024</v>
      </c>
      <c r="H30" s="29">
        <v>0.079</v>
      </c>
      <c r="I30" s="29">
        <v>0.02</v>
      </c>
      <c r="J30" s="29">
        <v>0.042</v>
      </c>
      <c r="K30" s="29">
        <v>0.055</v>
      </c>
      <c r="L30" s="29">
        <v>0.066</v>
      </c>
      <c r="M30" s="29">
        <v>0.136</v>
      </c>
      <c r="N30" s="29">
        <v>0.04</v>
      </c>
      <c r="O30" s="29">
        <v>0.055999999999999994</v>
      </c>
      <c r="P30" s="29">
        <v>0.174</v>
      </c>
      <c r="Q30" s="29">
        <v>0.013000000000000001</v>
      </c>
      <c r="R30" s="29">
        <v>0.08</v>
      </c>
    </row>
    <row r="31" spans="1:18" ht="12.75" outlineLevel="1">
      <c r="A31" s="11" t="s">
        <v>27</v>
      </c>
      <c r="B31" s="28"/>
      <c r="C31" s="26"/>
      <c r="D31" s="14">
        <f>RANK(D$30,$D$30:$R$30,1)</f>
        <v>4</v>
      </c>
      <c r="E31" s="14">
        <f>RANK(E$30,$D$30:$R$30,1)</f>
        <v>13</v>
      </c>
      <c r="F31" s="14">
        <f>RANK(F$30,$D$30:$R$30,1)</f>
        <v>12</v>
      </c>
      <c r="G31" s="14">
        <f>RANK(G$30,$D$30:$R$30,1)</f>
        <v>3</v>
      </c>
      <c r="H31" s="14">
        <f>RANK(H$30,$D$30:$R$30,1)</f>
        <v>10</v>
      </c>
      <c r="I31" s="14">
        <f>RANK(I$30,$D$30:$R$30,1)</f>
        <v>2</v>
      </c>
      <c r="J31" s="14">
        <f>RANK(J$30,$D$30:$R$30,1)</f>
        <v>6</v>
      </c>
      <c r="K31" s="14">
        <f>RANK(K$30,$D$30:$R$30,1)</f>
        <v>7</v>
      </c>
      <c r="L31" s="14">
        <f>RANK(L$30,$D$30:$R$30,1)</f>
        <v>9</v>
      </c>
      <c r="M31" s="14">
        <f>RANK(M$30,$D$30:$R$30,1)</f>
        <v>14</v>
      </c>
      <c r="N31" s="14">
        <f>RANK(N$30,$D$30:$R$30,1)</f>
        <v>5</v>
      </c>
      <c r="O31" s="14">
        <f>RANK(O$30,$D$30:$R$30,1)</f>
        <v>8</v>
      </c>
      <c r="P31" s="14">
        <f>RANK(P$30,$D$30:$R$30,1)</f>
        <v>15</v>
      </c>
      <c r="Q31" s="14">
        <f>RANK(Q$30,$D$30:$R$30,1)</f>
        <v>1</v>
      </c>
      <c r="R31" s="14">
        <f>RANK(R$30,$D$30:$R$30,1)</f>
        <v>11</v>
      </c>
    </row>
    <row r="32" spans="1:18" ht="12.75" outlineLevel="1">
      <c r="A32" s="11" t="s">
        <v>32</v>
      </c>
      <c r="B32" s="28"/>
      <c r="C32" s="26"/>
      <c r="D32" s="14">
        <v>1</v>
      </c>
      <c r="E32" s="14">
        <v>3</v>
      </c>
      <c r="F32" s="14">
        <v>3</v>
      </c>
      <c r="G32" s="14">
        <v>1</v>
      </c>
      <c r="H32" s="14">
        <v>2</v>
      </c>
      <c r="I32" s="14">
        <v>1</v>
      </c>
      <c r="J32" s="14">
        <v>2</v>
      </c>
      <c r="K32" s="14">
        <v>2</v>
      </c>
      <c r="L32" s="14">
        <v>2</v>
      </c>
      <c r="M32" s="14">
        <v>3</v>
      </c>
      <c r="N32" s="14">
        <v>1</v>
      </c>
      <c r="O32" s="14">
        <v>2</v>
      </c>
      <c r="P32" s="14">
        <v>4</v>
      </c>
      <c r="Q32" s="14">
        <v>1</v>
      </c>
      <c r="R32" s="14">
        <v>2</v>
      </c>
    </row>
    <row r="33" spans="1:18" ht="12.75">
      <c r="A33" s="3" t="s">
        <v>33</v>
      </c>
      <c r="B33" s="23">
        <v>30000</v>
      </c>
      <c r="C33" s="23">
        <f>SUM($D33:$R33)</f>
        <v>5510</v>
      </c>
      <c r="D33" s="23">
        <v>190</v>
      </c>
      <c r="E33" s="23">
        <v>290</v>
      </c>
      <c r="F33" s="23">
        <v>340</v>
      </c>
      <c r="G33" s="23">
        <v>150</v>
      </c>
      <c r="H33" s="23">
        <v>280</v>
      </c>
      <c r="I33" s="23">
        <v>190</v>
      </c>
      <c r="J33" s="23">
        <v>150</v>
      </c>
      <c r="K33" s="23">
        <v>350</v>
      </c>
      <c r="L33" s="23">
        <v>250</v>
      </c>
      <c r="M33" s="23">
        <v>170</v>
      </c>
      <c r="N33" s="23">
        <v>160</v>
      </c>
      <c r="O33" s="23">
        <v>380</v>
      </c>
      <c r="P33" s="23">
        <v>2110</v>
      </c>
      <c r="Q33" s="23">
        <v>130</v>
      </c>
      <c r="R33" s="24">
        <v>370</v>
      </c>
    </row>
    <row r="34" spans="1:18" ht="12.75" outlineLevel="1">
      <c r="A34" s="11" t="s">
        <v>34</v>
      </c>
      <c r="B34" s="28"/>
      <c r="C34" s="26"/>
      <c r="D34" s="14">
        <f>RANK(D$33,$D$33:$R$33,1)</f>
        <v>6</v>
      </c>
      <c r="E34" s="14">
        <f>RANK(E$33,$D$33:$R$33,1)</f>
        <v>10</v>
      </c>
      <c r="F34" s="14">
        <f>RANK(F$33,$D$33:$R$33,1)</f>
        <v>11</v>
      </c>
      <c r="G34" s="14">
        <f>RANK(G$33,$D$33:$R$33,1)</f>
        <v>2</v>
      </c>
      <c r="H34" s="14">
        <f>RANK(H$33,$D$33:$R$33,1)</f>
        <v>9</v>
      </c>
      <c r="I34" s="14">
        <f>RANK(I$33,$D$33:$R$33,1)</f>
        <v>6</v>
      </c>
      <c r="J34" s="14">
        <f>RANK(J$33,$D$33:$R$33,1)</f>
        <v>2</v>
      </c>
      <c r="K34" s="14">
        <f>RANK(K$33,$D$33:$R$33,1)</f>
        <v>12</v>
      </c>
      <c r="L34" s="14">
        <f>RANK(L$33,$D$33:$R$33,1)</f>
        <v>8</v>
      </c>
      <c r="M34" s="14">
        <f>RANK(M$33,$D$33:$R$33,1)</f>
        <v>5</v>
      </c>
      <c r="N34" s="14">
        <f>RANK(N$33,$D$33:$R$33,1)</f>
        <v>4</v>
      </c>
      <c r="O34" s="14">
        <f>RANK(O$33,$D$33:$R$33,1)</f>
        <v>14</v>
      </c>
      <c r="P34" s="14">
        <f>RANK(P$33,$D$33:$R$33,1)</f>
        <v>15</v>
      </c>
      <c r="Q34" s="14">
        <f>RANK(Q$33,$D$33:$R$33,1)</f>
        <v>1</v>
      </c>
      <c r="R34" s="14">
        <f>RANK(R$33,$D$33:$R$33,1)</f>
        <v>13</v>
      </c>
    </row>
    <row r="35" spans="1:18" ht="12.75">
      <c r="A35" s="3" t="str">
        <f>"%'age growth rate (1990-2000)"</f>
        <v>%'age growth rate (1990-2000)</v>
      </c>
      <c r="B35" s="29">
        <f>(B$22/(B$22-B$33))-1</f>
        <v>0.24390243902439024</v>
      </c>
      <c r="C35" s="29">
        <f>AVERAGE($D35:$R35)</f>
        <v>1.143189110589658</v>
      </c>
      <c r="D35" s="29">
        <f>(D$22/(D$22-D$33))-1</f>
        <v>1.1585365853658538</v>
      </c>
      <c r="E35" s="29">
        <f>(E$22/(E$22-E$33))-1</f>
        <v>0.4662379421221865</v>
      </c>
      <c r="F35" s="29">
        <f>(F$22/(F$22-F$33))-1</f>
        <v>1.8181818181818183</v>
      </c>
      <c r="G35" s="29">
        <f>(G$22/(G$22-G$33))-1</f>
        <v>1.282051282051282</v>
      </c>
      <c r="H35" s="29">
        <f>(H$22/(H$22-H$33))-1</f>
        <v>1.8791946308724832</v>
      </c>
      <c r="I35" s="29">
        <f>(I$22/(I$22-I$33))-1</f>
        <v>1.4074074074074074</v>
      </c>
      <c r="J35" s="29">
        <f>(J$22/(J$22-J$33))-1</f>
        <v>1.079136690647482</v>
      </c>
      <c r="K35" s="29">
        <f>(K$22/(K$22-K$33))-1</f>
        <v>0.4516129032258065</v>
      </c>
      <c r="L35" s="29">
        <f>(L$22/(L$22-L$33))-1</f>
        <v>0.8389261744966443</v>
      </c>
      <c r="M35" s="29">
        <f>(M$22/(M$22-M$33))-1</f>
        <v>0.33203125</v>
      </c>
      <c r="N35" s="29">
        <f>(N$22/(N$22-N$33))-1</f>
        <v>0.5714285714285714</v>
      </c>
      <c r="O35" s="29">
        <f>(O$22/(O$22-O$33))-1</f>
        <v>1.5261044176706826</v>
      </c>
      <c r="P35" s="29">
        <f>(P$22/(P$22-P$33))-1</f>
        <v>1.4104278074866312</v>
      </c>
      <c r="Q35" s="29">
        <f>(Q$22/(Q$22-Q$33))-1</f>
        <v>1.5662650602409638</v>
      </c>
      <c r="R35" s="29">
        <f>(R$22/(R$22-R$33))-1</f>
        <v>1.3602941176470589</v>
      </c>
    </row>
    <row r="36" spans="1:18" ht="12.75" outlineLevel="1">
      <c r="A36" s="11" t="s">
        <v>27</v>
      </c>
      <c r="B36" s="28"/>
      <c r="C36" s="26"/>
      <c r="D36" s="14">
        <f>RANK(D$35,$D$35:$R$35,1)</f>
        <v>7</v>
      </c>
      <c r="E36" s="14">
        <f>RANK(E$35,$D$35:$R$35,1)</f>
        <v>3</v>
      </c>
      <c r="F36" s="14">
        <f>RANK(F$35,$D$35:$R$35,1)</f>
        <v>14</v>
      </c>
      <c r="G36" s="14">
        <f>RANK(G$35,$D$35:$R$35,1)</f>
        <v>8</v>
      </c>
      <c r="H36" s="14">
        <f>RANK(H$35,$D$35:$R$35,1)</f>
        <v>15</v>
      </c>
      <c r="I36" s="14">
        <f>RANK(I$35,$D$35:$R$35,1)</f>
        <v>10</v>
      </c>
      <c r="J36" s="14">
        <f>RANK(J$35,$D$35:$R$35,1)</f>
        <v>6</v>
      </c>
      <c r="K36" s="14">
        <f>RANK(K$35,$D$35:$R$35,1)</f>
        <v>2</v>
      </c>
      <c r="L36" s="14">
        <f>RANK(L$35,$D$35:$R$35,1)</f>
        <v>5</v>
      </c>
      <c r="M36" s="14">
        <f>RANK(M$35,$D$35:$R$35,1)</f>
        <v>1</v>
      </c>
      <c r="N36" s="14">
        <f>RANK(N$35,$D$35:$R$35,1)</f>
        <v>4</v>
      </c>
      <c r="O36" s="14">
        <f>RANK(O$35,$D$35:$R$35,1)</f>
        <v>12</v>
      </c>
      <c r="P36" s="14">
        <f>RANK(P$35,$D$35:$R$35,1)</f>
        <v>11</v>
      </c>
      <c r="Q36" s="14">
        <f>RANK(Q$35,$D$35:$R$35,1)</f>
        <v>13</v>
      </c>
      <c r="R36" s="14">
        <f>RANK(R$35,$D$35:$R$35,1)</f>
        <v>9</v>
      </c>
    </row>
    <row r="38" spans="1:18" ht="13.5">
      <c r="A38" s="2" t="s">
        <v>35</v>
      </c>
      <c r="B38" s="19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3" t="s">
        <v>36</v>
      </c>
      <c r="B39" s="23">
        <v>318000</v>
      </c>
      <c r="C39" s="23">
        <f>SUM($D39:$R39)</f>
        <v>18990</v>
      </c>
      <c r="D39" s="23">
        <v>447</v>
      </c>
      <c r="E39" s="23">
        <v>1591</v>
      </c>
      <c r="F39" s="23">
        <v>936</v>
      </c>
      <c r="G39" s="23">
        <v>454</v>
      </c>
      <c r="H39" s="23">
        <v>808</v>
      </c>
      <c r="I39" s="23">
        <v>557</v>
      </c>
      <c r="J39" s="23">
        <v>545</v>
      </c>
      <c r="K39" s="23">
        <v>1582</v>
      </c>
      <c r="L39" s="23">
        <v>903</v>
      </c>
      <c r="M39" s="23">
        <v>1299</v>
      </c>
      <c r="N39" s="23">
        <v>649</v>
      </c>
      <c r="O39" s="23">
        <v>929</v>
      </c>
      <c r="P39" s="23">
        <v>6032</v>
      </c>
      <c r="Q39" s="23">
        <v>933</v>
      </c>
      <c r="R39" s="24">
        <v>1325</v>
      </c>
    </row>
    <row r="40" spans="1:18" ht="12.75" outlineLevel="1">
      <c r="A40" s="11" t="s">
        <v>23</v>
      </c>
      <c r="B40" s="28"/>
      <c r="C40" s="26"/>
      <c r="D40" s="14">
        <f>RANK(D$39,$D$39:$R$39,1)</f>
        <v>1</v>
      </c>
      <c r="E40" s="14">
        <f>RANK(E$39,$D$39:$R$39,1)</f>
        <v>14</v>
      </c>
      <c r="F40" s="14">
        <f>RANK(F$39,$D$39:$R$39,1)</f>
        <v>10</v>
      </c>
      <c r="G40" s="14">
        <f>RANK(G$39,$D$39:$R$39,1)</f>
        <v>2</v>
      </c>
      <c r="H40" s="14">
        <f>RANK(H$39,$D$39:$R$39,1)</f>
        <v>6</v>
      </c>
      <c r="I40" s="14">
        <f>RANK(I$39,$D$39:$R$39,1)</f>
        <v>4</v>
      </c>
      <c r="J40" s="14">
        <f>RANK(J$39,$D$39:$R$39,1)</f>
        <v>3</v>
      </c>
      <c r="K40" s="14">
        <f>RANK(K$39,$D$39:$R$39,1)</f>
        <v>13</v>
      </c>
      <c r="L40" s="14">
        <f>RANK(L$39,$D$39:$R$39,1)</f>
        <v>7</v>
      </c>
      <c r="M40" s="14">
        <f>RANK(M$39,$D$39:$R$39,1)</f>
        <v>11</v>
      </c>
      <c r="N40" s="14">
        <f>RANK(N$39,$D$39:$R$39,1)</f>
        <v>5</v>
      </c>
      <c r="O40" s="14">
        <f>RANK(O$39,$D$39:$R$39,1)</f>
        <v>8</v>
      </c>
      <c r="P40" s="14">
        <f>RANK(P$39,$D$39:$R$39,1)</f>
        <v>15</v>
      </c>
      <c r="Q40" s="14">
        <f>RANK(Q$39,$D$39:$R$39,1)</f>
        <v>9</v>
      </c>
      <c r="R40" s="14">
        <f>RANK(R$39,$D$39:$R$39,1)</f>
        <v>12</v>
      </c>
    </row>
    <row r="41" spans="1:18" ht="12.75">
      <c r="A41" s="3" t="str">
        <f>"%'age of minorities in pop."</f>
        <v>%'age of minorities in pop.</v>
      </c>
      <c r="B41" s="29">
        <f>B$39/B$14</f>
        <v>0.19272727272727272</v>
      </c>
      <c r="C41" s="29">
        <f>AVERAGE($D41:$R41)</f>
        <v>0.19361802524677804</v>
      </c>
      <c r="D41" s="29">
        <f>D$39/D$14</f>
        <v>0.1573943661971831</v>
      </c>
      <c r="E41" s="29">
        <f>E$39/E$14</f>
        <v>0.2060880829015544</v>
      </c>
      <c r="F41" s="29">
        <f>F$39/F$14</f>
        <v>0.35725190839694654</v>
      </c>
      <c r="G41" s="29">
        <f>G$39/G$14</f>
        <v>0.1</v>
      </c>
      <c r="H41" s="29">
        <f>H$39/H$14</f>
        <v>0.18198198198198198</v>
      </c>
      <c r="I41" s="29">
        <f>I$39/I$14</f>
        <v>0.09191419141914191</v>
      </c>
      <c r="J41" s="29">
        <f>J$39/J$14</f>
        <v>0.13938618925831203</v>
      </c>
      <c r="K41" s="29">
        <f>K$39/K$14</f>
        <v>0.16359875904860394</v>
      </c>
      <c r="L41" s="29">
        <f>L$39/L$14</f>
        <v>0.19090909090909092</v>
      </c>
      <c r="M41" s="29">
        <f>M$39/M$14</f>
        <v>0.21295081967213114</v>
      </c>
      <c r="N41" s="29">
        <f>N$39/N$14</f>
        <v>0.13808510638297872</v>
      </c>
      <c r="O41" s="29">
        <f>O$39/O$14</f>
        <v>0.14204892966360858</v>
      </c>
      <c r="P41" s="29">
        <f>P$39/P$14</f>
        <v>0.416</v>
      </c>
      <c r="Q41" s="29">
        <f>Q$39/Q$14</f>
        <v>0.13680351906158358</v>
      </c>
      <c r="R41" s="29">
        <f>R$39/R$14</f>
        <v>0.269857433808554</v>
      </c>
    </row>
    <row r="42" spans="1:18" ht="12.75" outlineLevel="1">
      <c r="A42" s="11" t="s">
        <v>27</v>
      </c>
      <c r="B42" s="28"/>
      <c r="C42" s="26"/>
      <c r="D42" s="14">
        <f>RANK(D$41,$D$41:$R$41,1)</f>
        <v>7</v>
      </c>
      <c r="E42" s="14">
        <f>RANK(E$41,$D$41:$R$41,1)</f>
        <v>11</v>
      </c>
      <c r="F42" s="14">
        <f>RANK(F$41,$D$41:$R$41,1)</f>
        <v>14</v>
      </c>
      <c r="G42" s="14">
        <f>RANK(G$41,$D$41:$R$41,1)</f>
        <v>2</v>
      </c>
      <c r="H42" s="14">
        <f>RANK(H$41,$D$41:$R$41,1)</f>
        <v>9</v>
      </c>
      <c r="I42" s="14">
        <f>RANK(I$41,$D$41:$R$41,1)</f>
        <v>1</v>
      </c>
      <c r="J42" s="14">
        <f>RANK(J$41,$D$41:$R$41,1)</f>
        <v>5</v>
      </c>
      <c r="K42" s="14">
        <f>RANK(K$41,$D$41:$R$41,1)</f>
        <v>8</v>
      </c>
      <c r="L42" s="14">
        <f>RANK(L$41,$D$41:$R$41,1)</f>
        <v>10</v>
      </c>
      <c r="M42" s="14">
        <f>RANK(M$41,$D$41:$R$41,1)</f>
        <v>12</v>
      </c>
      <c r="N42" s="14">
        <f>RANK(N$41,$D$41:$R$41,1)</f>
        <v>4</v>
      </c>
      <c r="O42" s="14">
        <f>RANK(O$41,$D$41:$R$41,1)</f>
        <v>6</v>
      </c>
      <c r="P42" s="14">
        <f>RANK(P$41,$D$41:$R$41,1)</f>
        <v>15</v>
      </c>
      <c r="Q42" s="14">
        <f>RANK(Q$41,$D$41:$R$41,1)</f>
        <v>3</v>
      </c>
      <c r="R42" s="14">
        <f>RANK(R$41,$D$41:$R$41,1)</f>
        <v>13</v>
      </c>
    </row>
    <row r="43" spans="1:18" ht="12.75" outlineLevel="1">
      <c r="A43" s="11" t="s">
        <v>32</v>
      </c>
      <c r="B43" s="28"/>
      <c r="C43" s="26"/>
      <c r="D43" s="14">
        <v>2</v>
      </c>
      <c r="E43" s="14">
        <v>3</v>
      </c>
      <c r="F43" s="14">
        <v>4</v>
      </c>
      <c r="G43" s="14">
        <v>1</v>
      </c>
      <c r="H43" s="14">
        <v>2</v>
      </c>
      <c r="I43" s="14">
        <v>1</v>
      </c>
      <c r="J43" s="14">
        <v>2</v>
      </c>
      <c r="K43" s="14">
        <v>2</v>
      </c>
      <c r="L43" s="14">
        <v>2</v>
      </c>
      <c r="M43" s="14">
        <v>3</v>
      </c>
      <c r="N43" s="14">
        <v>2</v>
      </c>
      <c r="O43" s="14">
        <v>2</v>
      </c>
      <c r="P43" s="14">
        <v>4</v>
      </c>
      <c r="Q43" s="14">
        <v>2</v>
      </c>
      <c r="R43" s="14">
        <v>4</v>
      </c>
    </row>
    <row r="44" spans="1:18" ht="12.75">
      <c r="A44" s="3" t="s">
        <v>33</v>
      </c>
      <c r="B44" s="23">
        <v>125000</v>
      </c>
      <c r="C44" s="23">
        <f>SUM($D44:$R44)</f>
        <v>13590</v>
      </c>
      <c r="D44" s="23">
        <v>270</v>
      </c>
      <c r="E44" s="23">
        <v>1090</v>
      </c>
      <c r="F44" s="23">
        <v>710</v>
      </c>
      <c r="G44" s="23">
        <v>240</v>
      </c>
      <c r="H44" s="23">
        <v>690</v>
      </c>
      <c r="I44" s="23">
        <v>330</v>
      </c>
      <c r="J44" s="23">
        <v>430</v>
      </c>
      <c r="K44" s="23">
        <v>920</v>
      </c>
      <c r="L44" s="23">
        <v>570</v>
      </c>
      <c r="M44" s="23">
        <v>920</v>
      </c>
      <c r="N44" s="23">
        <v>400</v>
      </c>
      <c r="O44" s="23">
        <v>650</v>
      </c>
      <c r="P44" s="23">
        <v>4850</v>
      </c>
      <c r="Q44" s="23">
        <v>550</v>
      </c>
      <c r="R44" s="24">
        <v>970</v>
      </c>
    </row>
    <row r="45" spans="1:18" ht="12.75" outlineLevel="1">
      <c r="A45" s="11" t="s">
        <v>34</v>
      </c>
      <c r="B45" s="28"/>
      <c r="C45" s="26"/>
      <c r="D45" s="14">
        <f>RANK(D$44,$D$44:$R$44,1)</f>
        <v>2</v>
      </c>
      <c r="E45" s="14">
        <f>RANK(E$44,$D$44:$R$44,1)</f>
        <v>14</v>
      </c>
      <c r="F45" s="14">
        <f>RANK(F$44,$D$44:$R$44,1)</f>
        <v>10</v>
      </c>
      <c r="G45" s="14">
        <f>RANK(G$44,$D$44:$R$44,1)</f>
        <v>1</v>
      </c>
      <c r="H45" s="14">
        <f>RANK(H$44,$D$44:$R$44,1)</f>
        <v>9</v>
      </c>
      <c r="I45" s="14">
        <f>RANK(I$44,$D$44:$R$44,1)</f>
        <v>3</v>
      </c>
      <c r="J45" s="14">
        <f>RANK(J$44,$D$44:$R$44,1)</f>
        <v>5</v>
      </c>
      <c r="K45" s="14">
        <f>RANK(K$44,$D$44:$R$44,1)</f>
        <v>11</v>
      </c>
      <c r="L45" s="14">
        <f>RANK(L$44,$D$44:$R$44,1)</f>
        <v>7</v>
      </c>
      <c r="M45" s="14">
        <f>RANK(M$44,$D$44:$R$44,1)</f>
        <v>11</v>
      </c>
      <c r="N45" s="14">
        <f>RANK(N$44,$D$44:$R$44,1)</f>
        <v>4</v>
      </c>
      <c r="O45" s="14">
        <f>RANK(O$44,$D$44:$R$44,1)</f>
        <v>8</v>
      </c>
      <c r="P45" s="14">
        <f>RANK(P$44,$D$44:$R$44,1)</f>
        <v>15</v>
      </c>
      <c r="Q45" s="14">
        <f>RANK(Q$44,$D$44:$R$44,1)</f>
        <v>6</v>
      </c>
      <c r="R45" s="14">
        <f>RANK(R$44,$D$44:$R$44,1)</f>
        <v>13</v>
      </c>
    </row>
    <row r="46" spans="1:18" ht="12.75">
      <c r="A46" s="3" t="str">
        <f>"%'age growth rate (1990-2000)"</f>
        <v>%'age growth rate (1990-2000)</v>
      </c>
      <c r="B46" s="29">
        <f>(B$39/(B$39-B$44))-1</f>
        <v>0.6476683937823835</v>
      </c>
      <c r="C46" s="29">
        <f>AVERAGE($D46:$R46)</f>
        <v>2.4494126046902</v>
      </c>
      <c r="D46" s="29">
        <f>(D$39/(D$39-D$44))-1</f>
        <v>1.5254237288135593</v>
      </c>
      <c r="E46" s="29">
        <f>(E$39/(E$39-E$44))-1</f>
        <v>2.1756487025948106</v>
      </c>
      <c r="F46" s="29">
        <f>(F$39/(F$39-F$44))-1</f>
        <v>3.1415929203539825</v>
      </c>
      <c r="G46" s="29">
        <f>(G$39/(G$39-G$44))-1</f>
        <v>1.1214953271028039</v>
      </c>
      <c r="H46" s="29">
        <f>(H$39/(H$39-H$44))-1</f>
        <v>5.8474576271186445</v>
      </c>
      <c r="I46" s="29">
        <f>(I$39/(I$39-I$44))-1</f>
        <v>1.4537444933920707</v>
      </c>
      <c r="J46" s="29">
        <f>(J$39/(J$39-J$44))-1</f>
        <v>3.7391304347826084</v>
      </c>
      <c r="K46" s="29">
        <f>(K$39/(K$39-K$44))-1</f>
        <v>1.3897280966767371</v>
      </c>
      <c r="L46" s="29">
        <f>(L$39/(L$39-L$44))-1</f>
        <v>1.7117117117117115</v>
      </c>
      <c r="M46" s="29">
        <f>(M$39/(M$39-M$44))-1</f>
        <v>2.4274406332453826</v>
      </c>
      <c r="N46" s="29">
        <f>(N$39/(N$39-N$44))-1</f>
        <v>1.606425702811245</v>
      </c>
      <c r="O46" s="29">
        <f>(O$39/(O$39-O$44))-1</f>
        <v>2.3297491039426523</v>
      </c>
      <c r="P46" s="29">
        <f>(P$39/(P$39-P$44))-1</f>
        <v>4.10321489001692</v>
      </c>
      <c r="Q46" s="29">
        <f>(Q$39/(Q$39-Q$44))-1</f>
        <v>1.4360313315926891</v>
      </c>
      <c r="R46" s="29">
        <f>(R$39/(R$39-R$44))-1</f>
        <v>2.732394366197183</v>
      </c>
    </row>
    <row r="47" spans="1:18" ht="12.75" outlineLevel="1">
      <c r="A47" s="11" t="s">
        <v>27</v>
      </c>
      <c r="B47" s="28"/>
      <c r="C47" s="26"/>
      <c r="D47" s="14">
        <f>RANK(D$46,$D$46:$R$46,1)</f>
        <v>5</v>
      </c>
      <c r="E47" s="14">
        <f>RANK(E$46,$D$46:$R$46,1)</f>
        <v>8</v>
      </c>
      <c r="F47" s="14">
        <f>RANK(F$46,$D$46:$R$46,1)</f>
        <v>12</v>
      </c>
      <c r="G47" s="14">
        <f>RANK(G$46,$D$46:$R$46,1)</f>
        <v>1</v>
      </c>
      <c r="H47" s="14">
        <f>RANK(H$46,$D$46:$R$46,1)</f>
        <v>15</v>
      </c>
      <c r="I47" s="14">
        <f>RANK(I$46,$D$46:$R$46,1)</f>
        <v>4</v>
      </c>
      <c r="J47" s="14">
        <f>RANK(J$46,$D$46:$R$46,1)</f>
        <v>13</v>
      </c>
      <c r="K47" s="14">
        <f>RANK(K$46,$D$46:$R$46,1)</f>
        <v>2</v>
      </c>
      <c r="L47" s="14">
        <f>RANK(L$46,$D$46:$R$46,1)</f>
        <v>7</v>
      </c>
      <c r="M47" s="14">
        <f>RANK(M$46,$D$46:$R$46,1)</f>
        <v>10</v>
      </c>
      <c r="N47" s="14">
        <f>RANK(N$46,$D$46:$R$46,1)</f>
        <v>6</v>
      </c>
      <c r="O47" s="14">
        <f>RANK(O$46,$D$46:$R$46,1)</f>
        <v>9</v>
      </c>
      <c r="P47" s="14">
        <f>RANK(P$46,$D$46:$R$46,1)</f>
        <v>14</v>
      </c>
      <c r="Q47" s="14">
        <f>RANK(Q$46,$D$46:$R$46,1)</f>
        <v>3</v>
      </c>
      <c r="R47" s="14">
        <f>RANK(R$46,$D$46:$R$46,1)</f>
        <v>11</v>
      </c>
    </row>
    <row r="48" spans="1:18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3.5">
      <c r="A49" s="2" t="s">
        <v>37</v>
      </c>
      <c r="B49" s="19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3" t="str">
        <f>"%'age of households w/children"</f>
        <v>%'age of households w/children</v>
      </c>
      <c r="B50" s="29">
        <v>0.252</v>
      </c>
      <c r="C50" s="29">
        <f>AVERAGE($D50:$R50)</f>
        <v>0.2717333333333334</v>
      </c>
      <c r="D50" s="29">
        <v>0.29100000000000004</v>
      </c>
      <c r="E50" s="29">
        <v>0.269</v>
      </c>
      <c r="F50" s="29">
        <v>0.267</v>
      </c>
      <c r="G50" s="29">
        <v>0.281</v>
      </c>
      <c r="H50" s="29">
        <v>0.277</v>
      </c>
      <c r="I50" s="29">
        <v>0.299</v>
      </c>
      <c r="J50" s="29">
        <v>0.272</v>
      </c>
      <c r="K50" s="29">
        <v>0.276</v>
      </c>
      <c r="L50" s="29">
        <v>0.247</v>
      </c>
      <c r="M50" s="29">
        <v>0.24100000000000002</v>
      </c>
      <c r="N50" s="29">
        <v>0.24300000000000002</v>
      </c>
      <c r="O50" s="29">
        <v>0.28500000000000003</v>
      </c>
      <c r="P50" s="29">
        <v>0.303</v>
      </c>
      <c r="Q50" s="29">
        <v>0.28300000000000003</v>
      </c>
      <c r="R50" s="29">
        <v>0.242</v>
      </c>
    </row>
    <row r="51" spans="1:18" ht="12.75" outlineLevel="1">
      <c r="A51" s="11" t="s">
        <v>27</v>
      </c>
      <c r="B51" s="28"/>
      <c r="C51" s="26"/>
      <c r="D51" s="14">
        <f>RANK(D$50,$D$50:$R$50,1)</f>
        <v>13</v>
      </c>
      <c r="E51" s="14">
        <f>RANK(E$50,$D$50:$R$50,1)</f>
        <v>6</v>
      </c>
      <c r="F51" s="14">
        <f>RANK(F$50,$D$50:$R$50,1)</f>
        <v>5</v>
      </c>
      <c r="G51" s="14">
        <f>RANK(G$50,$D$50:$R$50,1)</f>
        <v>10</v>
      </c>
      <c r="H51" s="14">
        <f>RANK(H$50,$D$50:$R$50,1)</f>
        <v>9</v>
      </c>
      <c r="I51" s="14">
        <f>RANK(I$50,$D$50:$R$50,1)</f>
        <v>14</v>
      </c>
      <c r="J51" s="14">
        <f>RANK(J$50,$D$50:$R$50,1)</f>
        <v>7</v>
      </c>
      <c r="K51" s="14">
        <f>RANK(K$50,$D$50:$R$50,1)</f>
        <v>8</v>
      </c>
      <c r="L51" s="14">
        <f>RANK(L$50,$D$50:$R$50,1)</f>
        <v>4</v>
      </c>
      <c r="M51" s="14">
        <f>RANK(M$50,$D$50:$R$50,1)</f>
        <v>1</v>
      </c>
      <c r="N51" s="14">
        <f>RANK(N$50,$D$50:$R$50,1)</f>
        <v>3</v>
      </c>
      <c r="O51" s="14">
        <f>RANK(O$50,$D$50:$R$50,1)</f>
        <v>12</v>
      </c>
      <c r="P51" s="14">
        <f>RANK(P$50,$D$50:$R$50,1)</f>
        <v>15</v>
      </c>
      <c r="Q51" s="14">
        <f>RANK(Q$50,$D$50:$R$50,1)</f>
        <v>11</v>
      </c>
      <c r="R51" s="14">
        <f>RANK(R$50,$D$50:$R$50,1)</f>
        <v>2</v>
      </c>
    </row>
    <row r="52" spans="1:18" ht="12.75" outlineLevel="1">
      <c r="A52" s="11" t="s">
        <v>32</v>
      </c>
      <c r="B52" s="28"/>
      <c r="C52" s="26"/>
      <c r="D52" s="14">
        <v>4</v>
      </c>
      <c r="E52" s="14">
        <v>3</v>
      </c>
      <c r="F52" s="14">
        <v>3</v>
      </c>
      <c r="G52" s="14">
        <v>3</v>
      </c>
      <c r="H52" s="14">
        <v>3</v>
      </c>
      <c r="I52" s="14">
        <v>4</v>
      </c>
      <c r="J52" s="14">
        <v>3</v>
      </c>
      <c r="K52" s="14">
        <v>3</v>
      </c>
      <c r="L52" s="14">
        <v>2</v>
      </c>
      <c r="M52" s="14">
        <v>2</v>
      </c>
      <c r="N52" s="14">
        <v>2</v>
      </c>
      <c r="O52" s="14">
        <v>4</v>
      </c>
      <c r="P52" s="14">
        <v>4</v>
      </c>
      <c r="Q52" s="14">
        <v>4</v>
      </c>
      <c r="R52" s="14">
        <v>2</v>
      </c>
    </row>
    <row r="53" spans="1:18" ht="12.75">
      <c r="A53" s="3" t="str">
        <f>"%'age of households w/seniors"</f>
        <v>%'age of households w/seniors</v>
      </c>
      <c r="B53" s="29">
        <v>0.10300000000000001</v>
      </c>
      <c r="C53" s="29">
        <f>AVERAGE($D53:$R53)</f>
        <v>0.098</v>
      </c>
      <c r="D53" s="29">
        <v>0.102</v>
      </c>
      <c r="E53" s="29">
        <v>0.16</v>
      </c>
      <c r="F53" s="29">
        <v>0.07</v>
      </c>
      <c r="G53" s="29">
        <v>0.069</v>
      </c>
      <c r="H53" s="29">
        <v>0.069</v>
      </c>
      <c r="I53" s="29">
        <v>0.062000000000000006</v>
      </c>
      <c r="J53" s="29">
        <v>0.075</v>
      </c>
      <c r="K53" s="29">
        <v>0.09699999999999999</v>
      </c>
      <c r="L53" s="29">
        <v>0.11199999999999999</v>
      </c>
      <c r="M53" s="29">
        <v>0.133</v>
      </c>
      <c r="N53" s="29">
        <v>0.139</v>
      </c>
      <c r="O53" s="29">
        <v>0.13699999999999998</v>
      </c>
      <c r="P53" s="29">
        <v>0.071</v>
      </c>
      <c r="Q53" s="29">
        <v>0.065</v>
      </c>
      <c r="R53" s="29">
        <v>0.109</v>
      </c>
    </row>
    <row r="54" spans="1:18" ht="12.75" outlineLevel="1">
      <c r="A54" s="11" t="s">
        <v>27</v>
      </c>
      <c r="B54" s="28"/>
      <c r="C54" s="26"/>
      <c r="D54" s="14">
        <f>RANK(D$53,$D$53:$R$53,1)</f>
        <v>9</v>
      </c>
      <c r="E54" s="14">
        <f>RANK(E$53,$D$53:$R$53,1)</f>
        <v>15</v>
      </c>
      <c r="F54" s="14">
        <f>RANK(F$53,$D$53:$R$53,1)</f>
        <v>5</v>
      </c>
      <c r="G54" s="14">
        <f>RANK(G$53,$D$53:$R$53,1)</f>
        <v>3</v>
      </c>
      <c r="H54" s="14">
        <f>RANK(H$53,$D$53:$R$53,1)</f>
        <v>3</v>
      </c>
      <c r="I54" s="14">
        <f>RANK(I$53,$D$53:$R$53,1)</f>
        <v>1</v>
      </c>
      <c r="J54" s="14">
        <f>RANK(J$53,$D$53:$R$53,1)</f>
        <v>7</v>
      </c>
      <c r="K54" s="14">
        <f>RANK(K$53,$D$53:$R$53,1)</f>
        <v>8</v>
      </c>
      <c r="L54" s="14">
        <f>RANK(L$53,$D$53:$R$53,1)</f>
        <v>11</v>
      </c>
      <c r="M54" s="14">
        <f>RANK(M$53,$D$53:$R$53,1)</f>
        <v>12</v>
      </c>
      <c r="N54" s="14">
        <f>RANK(N$53,$D$53:$R$53,1)</f>
        <v>14</v>
      </c>
      <c r="O54" s="14">
        <f>RANK(O$53,$D$53:$R$53,1)</f>
        <v>13</v>
      </c>
      <c r="P54" s="14">
        <f>RANK(P$53,$D$53:$R$53,1)</f>
        <v>6</v>
      </c>
      <c r="Q54" s="14">
        <f>RANK(Q$53,$D$53:$R$53,1)</f>
        <v>2</v>
      </c>
      <c r="R54" s="14">
        <f>RANK(R$53,$D$53:$R$53,1)</f>
        <v>10</v>
      </c>
    </row>
    <row r="55" spans="1:18" ht="12.75" outlineLevel="1">
      <c r="A55" s="11" t="s">
        <v>32</v>
      </c>
      <c r="B55" s="28"/>
      <c r="C55" s="26"/>
      <c r="D55" s="14">
        <v>2</v>
      </c>
      <c r="E55" s="14">
        <v>4</v>
      </c>
      <c r="F55" s="14">
        <v>1</v>
      </c>
      <c r="G55" s="14">
        <v>1</v>
      </c>
      <c r="H55" s="14">
        <v>1</v>
      </c>
      <c r="I55" s="14">
        <v>1</v>
      </c>
      <c r="J55" s="14">
        <v>1</v>
      </c>
      <c r="K55" s="14">
        <v>2</v>
      </c>
      <c r="L55" s="14">
        <v>3</v>
      </c>
      <c r="M55" s="14">
        <v>3</v>
      </c>
      <c r="N55" s="14">
        <v>4</v>
      </c>
      <c r="O55" s="14">
        <v>4</v>
      </c>
      <c r="P55" s="14">
        <v>1</v>
      </c>
      <c r="Q55" s="14">
        <v>1</v>
      </c>
      <c r="R55" s="14">
        <v>3</v>
      </c>
    </row>
    <row r="56" spans="1:1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ht="13.5">
      <c r="A57" s="2" t="s">
        <v>38</v>
      </c>
    </row>
    <row r="58" spans="1:18" ht="12.75">
      <c r="A58" s="3" t="s">
        <v>39</v>
      </c>
      <c r="B58" s="23">
        <f>B$14*B$60</f>
        <v>117149.99999999999</v>
      </c>
      <c r="C58" s="23">
        <f>SUM($D58:$R58)</f>
        <v>3790.49</v>
      </c>
      <c r="D58" s="23">
        <f>D$14*D$60</f>
        <v>136.32</v>
      </c>
      <c r="E58" s="23">
        <f>E$14*E$60</f>
        <v>231.6</v>
      </c>
      <c r="F58" s="23">
        <f>F$14*F$60</f>
        <v>13.1</v>
      </c>
      <c r="G58" s="23">
        <f>G$14*G$60</f>
        <v>581.12</v>
      </c>
      <c r="H58" s="23">
        <f>H$14*H$60</f>
        <v>133.2</v>
      </c>
      <c r="I58" s="23">
        <f>I$14*I$60</f>
        <v>533.2800000000001</v>
      </c>
      <c r="J58" s="23">
        <f>J$14*J$60</f>
        <v>27.37</v>
      </c>
      <c r="K58" s="23">
        <f>K$14*K$60</f>
        <v>290.09999999999997</v>
      </c>
      <c r="L58" s="23">
        <f>L$14*L$60</f>
        <v>108.78999999999999</v>
      </c>
      <c r="M58" s="23">
        <f>M$14*M$60</f>
        <v>109.80000000000001</v>
      </c>
      <c r="N58" s="23">
        <f>N$14*N$60</f>
        <v>380.7</v>
      </c>
      <c r="O58" s="23">
        <f>O$14*O$60</f>
        <v>274.68</v>
      </c>
      <c r="P58" s="23">
        <f>P$14*P$60</f>
        <v>130.50000000000003</v>
      </c>
      <c r="Q58" s="23">
        <f>Q$14*Q$60</f>
        <v>579.7</v>
      </c>
      <c r="R58" s="23">
        <f>R$14*R$60</f>
        <v>260.23</v>
      </c>
    </row>
    <row r="59" spans="1:18" ht="12.75" outlineLevel="1">
      <c r="A59" s="11" t="s">
        <v>23</v>
      </c>
      <c r="B59" s="11"/>
      <c r="C59" s="11"/>
      <c r="D59" s="11">
        <f>RANK(D$58,$D$58:$R$58,1)</f>
        <v>7</v>
      </c>
      <c r="E59" s="11">
        <f>RANK(E$58,$D$58:$R$58,1)</f>
        <v>8</v>
      </c>
      <c r="F59" s="11">
        <f>RANK(F$58,$D$58:$R$58,1)</f>
        <v>1</v>
      </c>
      <c r="G59" s="11">
        <f>RANK(G$58,$D$58:$R$58,1)</f>
        <v>15</v>
      </c>
      <c r="H59" s="11">
        <f>RANK(H$58,$D$58:$R$58,1)</f>
        <v>6</v>
      </c>
      <c r="I59" s="11">
        <f>RANK(I$58,$D$58:$R$58,1)</f>
        <v>13</v>
      </c>
      <c r="J59" s="11">
        <f>RANK(J$58,$D$58:$R$58,1)</f>
        <v>2</v>
      </c>
      <c r="K59" s="11">
        <f>RANK(K$58,$D$58:$R$58,1)</f>
        <v>11</v>
      </c>
      <c r="L59" s="11">
        <f>RANK(L$58,$D$58:$R$58,1)</f>
        <v>3</v>
      </c>
      <c r="M59" s="11">
        <f>RANK(M$58,$D$58:$R$58,1)</f>
        <v>4</v>
      </c>
      <c r="N59" s="11">
        <f>RANK(N$58,$D$58:$R$58,1)</f>
        <v>12</v>
      </c>
      <c r="O59" s="11">
        <f>RANK(O$58,$D$58:$R$58,1)</f>
        <v>10</v>
      </c>
      <c r="P59" s="11">
        <f>RANK(P$58,$D$58:$R$58,1)</f>
        <v>5</v>
      </c>
      <c r="Q59" s="11">
        <f>RANK(Q$58,$D$58:$R$58,1)</f>
        <v>14</v>
      </c>
      <c r="R59" s="11">
        <f>RANK(R$58,$D$58:$R$58,1)</f>
        <v>9</v>
      </c>
    </row>
    <row r="60" spans="1:18" ht="12.75">
      <c r="A60" s="3" t="str">
        <f>"%'age pop. with HH income $125k+"</f>
        <v>%'age pop. with HH income $125k+</v>
      </c>
      <c r="B60" s="29">
        <v>0.071</v>
      </c>
      <c r="C60" s="29">
        <f>AVERAGE($D60:$R60)</f>
        <v>0.045133333333333345</v>
      </c>
      <c r="D60" s="29">
        <v>0.048</v>
      </c>
      <c r="E60" s="29">
        <v>0.03</v>
      </c>
      <c r="F60" s="29">
        <v>0.005</v>
      </c>
      <c r="G60" s="29">
        <v>0.128</v>
      </c>
      <c r="H60" s="29">
        <v>0.03</v>
      </c>
      <c r="I60" s="29">
        <v>0.08800000000000001</v>
      </c>
      <c r="J60" s="29">
        <v>0.007</v>
      </c>
      <c r="K60" s="29">
        <v>0.03</v>
      </c>
      <c r="L60" s="29">
        <v>0.023</v>
      </c>
      <c r="M60" s="29">
        <v>0.018000000000000002</v>
      </c>
      <c r="N60" s="29">
        <v>0.081</v>
      </c>
      <c r="O60" s="29">
        <v>0.042</v>
      </c>
      <c r="P60" s="29">
        <v>0.009000000000000001</v>
      </c>
      <c r="Q60" s="29">
        <v>0.085</v>
      </c>
      <c r="R60" s="29">
        <v>0.053</v>
      </c>
    </row>
    <row r="61" spans="1:18" ht="12.75" outlineLevel="1">
      <c r="A61" s="11" t="s">
        <v>27</v>
      </c>
      <c r="B61" s="28"/>
      <c r="C61" s="26"/>
      <c r="D61" s="14">
        <f>RANK(D$60,$D$60:$R$60,1)</f>
        <v>10</v>
      </c>
      <c r="E61" s="14">
        <f>RANK(E$60,$D$60:$R$60,1)</f>
        <v>6</v>
      </c>
      <c r="F61" s="14">
        <f>RANK(F$60,$D$60:$R$60,1)</f>
        <v>1</v>
      </c>
      <c r="G61" s="14">
        <f>RANK(G$60,$D$60:$R$60,1)</f>
        <v>15</v>
      </c>
      <c r="H61" s="14">
        <f>RANK(H$60,$D$60:$R$60,1)</f>
        <v>6</v>
      </c>
      <c r="I61" s="14">
        <f>RANK(I$60,$D$60:$R$60,1)</f>
        <v>14</v>
      </c>
      <c r="J61" s="14">
        <f>RANK(J$60,$D$60:$R$60,1)</f>
        <v>2</v>
      </c>
      <c r="K61" s="14">
        <f>RANK(K$60,$D$60:$R$60,1)</f>
        <v>6</v>
      </c>
      <c r="L61" s="14">
        <f>RANK(L$60,$D$60:$R$60,1)</f>
        <v>5</v>
      </c>
      <c r="M61" s="14">
        <f>RANK(M$60,$D$60:$R$60,1)</f>
        <v>4</v>
      </c>
      <c r="N61" s="14">
        <f>RANK(N$60,$D$60:$R$60,1)</f>
        <v>12</v>
      </c>
      <c r="O61" s="14">
        <f>RANK(O$60,$D$60:$R$60,1)</f>
        <v>9</v>
      </c>
      <c r="P61" s="14">
        <f>RANK(P$60,$D$60:$R$60,1)</f>
        <v>3</v>
      </c>
      <c r="Q61" s="14">
        <f>RANK(Q$60,$D$60:$R$60,1)</f>
        <v>13</v>
      </c>
      <c r="R61" s="14">
        <f>RANK(R$60,$D$60:$R$60,1)</f>
        <v>11</v>
      </c>
    </row>
    <row r="62" spans="1:18" ht="12.75" outlineLevel="1">
      <c r="A62" s="11" t="s">
        <v>32</v>
      </c>
      <c r="B62" s="28"/>
      <c r="C62" s="26"/>
      <c r="D62" s="14">
        <v>2</v>
      </c>
      <c r="E62" s="14">
        <v>1</v>
      </c>
      <c r="F62" s="14">
        <v>1</v>
      </c>
      <c r="G62" s="14">
        <v>3</v>
      </c>
      <c r="H62" s="14">
        <v>1</v>
      </c>
      <c r="I62" s="14">
        <v>3</v>
      </c>
      <c r="J62" s="14">
        <v>1</v>
      </c>
      <c r="K62" s="14">
        <v>1</v>
      </c>
      <c r="L62" s="14">
        <v>1</v>
      </c>
      <c r="M62" s="14">
        <v>1</v>
      </c>
      <c r="N62" s="14">
        <v>3</v>
      </c>
      <c r="O62" s="14">
        <v>2</v>
      </c>
      <c r="P62" s="14">
        <v>1</v>
      </c>
      <c r="Q62" s="14">
        <v>3</v>
      </c>
      <c r="R62" s="14">
        <v>2</v>
      </c>
    </row>
    <row r="63" spans="1:18" ht="12.75">
      <c r="A63" s="3" t="s">
        <v>40</v>
      </c>
      <c r="B63" s="23">
        <v>218900</v>
      </c>
      <c r="C63" s="23">
        <f>AVERAGE($D63:$R63)</f>
        <v>192433.33333333334</v>
      </c>
      <c r="D63" s="23">
        <v>170000</v>
      </c>
      <c r="E63" s="23">
        <v>175100</v>
      </c>
      <c r="F63" s="23">
        <v>160700</v>
      </c>
      <c r="G63" s="23">
        <v>241700</v>
      </c>
      <c r="H63" s="23">
        <v>192500</v>
      </c>
      <c r="I63" s="23">
        <v>224600</v>
      </c>
      <c r="J63" s="23">
        <v>198300</v>
      </c>
      <c r="K63" s="23">
        <v>175400</v>
      </c>
      <c r="L63" s="23">
        <v>175900</v>
      </c>
      <c r="M63" s="23">
        <v>182300</v>
      </c>
      <c r="N63" s="23">
        <v>188500</v>
      </c>
      <c r="O63" s="23">
        <v>193200</v>
      </c>
      <c r="P63" s="23">
        <v>162700</v>
      </c>
      <c r="Q63" s="23">
        <v>234600</v>
      </c>
      <c r="R63" s="23">
        <v>211000</v>
      </c>
    </row>
    <row r="64" spans="1:18" ht="12.75" outlineLevel="1">
      <c r="A64" s="11" t="s">
        <v>27</v>
      </c>
      <c r="B64" s="11"/>
      <c r="C64" s="11"/>
      <c r="D64" s="11">
        <f>RANK(D$63,$D$63:$R$63,1)</f>
        <v>3</v>
      </c>
      <c r="E64" s="11">
        <f>RANK(E$63,$D$63:$R$63,1)</f>
        <v>4</v>
      </c>
      <c r="F64" s="11">
        <f>RANK(F$63,$D$63:$R$63,1)</f>
        <v>1</v>
      </c>
      <c r="G64" s="11">
        <f>RANK(G$63,$D$63:$R$63,1)</f>
        <v>15</v>
      </c>
      <c r="H64" s="11">
        <f>RANK(H$63,$D$63:$R$63,1)</f>
        <v>9</v>
      </c>
      <c r="I64" s="11">
        <f>RANK(I$63,$D$63:$R$63,1)</f>
        <v>13</v>
      </c>
      <c r="J64" s="11">
        <f>RANK(J$63,$D$63:$R$63,1)</f>
        <v>11</v>
      </c>
      <c r="K64" s="11">
        <f>RANK(K$63,$D$63:$R$63,1)</f>
        <v>5</v>
      </c>
      <c r="L64" s="11">
        <f>RANK(L$63,$D$63:$R$63,1)</f>
        <v>6</v>
      </c>
      <c r="M64" s="11">
        <f>RANK(M$63,$D$63:$R$63,1)</f>
        <v>7</v>
      </c>
      <c r="N64" s="11">
        <f>RANK(N$63,$D$63:$R$63,1)</f>
        <v>8</v>
      </c>
      <c r="O64" s="11">
        <f>RANK(O$63,$D$63:$R$63,1)</f>
        <v>10</v>
      </c>
      <c r="P64" s="11">
        <f>RANK(P$63,$D$63:$R$63,1)</f>
        <v>2</v>
      </c>
      <c r="Q64" s="11">
        <f>RANK(Q$63,$D$63:$R$63,1)</f>
        <v>14</v>
      </c>
      <c r="R64" s="11">
        <f>RANK(R$63,$D$63:$R$63,1)</f>
        <v>12</v>
      </c>
    </row>
    <row r="65" spans="1:18" ht="12.75">
      <c r="A65" s="3" t="s">
        <v>41</v>
      </c>
      <c r="B65" s="23">
        <f>(B$63/(1+B$67))*$B67</f>
        <v>57588.2829771555</v>
      </c>
      <c r="C65" s="23">
        <f>AVERAGE($D65:$R65)</f>
        <v>56311.41213026743</v>
      </c>
      <c r="D65" s="23">
        <f>(D$63/(1+D$67))*$B67</f>
        <v>46470.13782542114</v>
      </c>
      <c r="E65" s="23">
        <f>(E$63/(1+E$67))*$B67</f>
        <v>50008.560000000005</v>
      </c>
      <c r="F65" s="23">
        <f>(F$63/(1+F$67))*$B67</f>
        <v>44472.79069767442</v>
      </c>
      <c r="G65" s="23">
        <f>(G$63/(1+G$67))*$B67</f>
        <v>68481.66666666667</v>
      </c>
      <c r="H65" s="23">
        <f>(H$63/(1+H$67))*$B67</f>
        <v>56983.830845771154</v>
      </c>
      <c r="I65" s="23">
        <f>(I$63/(1+I$67))*$B67</f>
        <v>64663.06451612904</v>
      </c>
      <c r="J65" s="23">
        <f>(J$63/(1+J$67))*$B67</f>
        <v>56140.44409199048</v>
      </c>
      <c r="K65" s="23">
        <f>(K$63/(1+K$67))*$B67</f>
        <v>51793.052109181146</v>
      </c>
      <c r="L65" s="23">
        <f>(L$63/(1+L$67))*$B67</f>
        <v>52681.45973154363</v>
      </c>
      <c r="M65" s="23">
        <f>(M$63/(1+M$67))*$B67</f>
        <v>54009.21161825727</v>
      </c>
      <c r="N65" s="23">
        <f>(N$63/(1+N$67))*$B67</f>
        <v>58926.88266199651</v>
      </c>
      <c r="O65" s="23">
        <f>(O$63/(1+O$67))*$B67</f>
        <v>55310.66559743386</v>
      </c>
      <c r="P65" s="23">
        <f>(P$63/(1+P$67))*$B67</f>
        <v>45449.06103286385</v>
      </c>
      <c r="Q65" s="23">
        <f>(Q$63/(1+Q$67))*$B67</f>
        <v>73146.02620087337</v>
      </c>
      <c r="R65" s="23">
        <f>(R$63/(1+R$67))*$B67</f>
        <v>66134.32835820896</v>
      </c>
    </row>
    <row r="66" spans="1:18" ht="12.75" outlineLevel="1">
      <c r="A66" s="11" t="s">
        <v>34</v>
      </c>
      <c r="B66" s="28"/>
      <c r="C66" s="26"/>
      <c r="D66" s="14">
        <f>RANK(D$65,$D$65:$R$65,1)</f>
        <v>3</v>
      </c>
      <c r="E66" s="14">
        <f>RANK(E$65,$D$65:$R$65,1)</f>
        <v>4</v>
      </c>
      <c r="F66" s="14">
        <f>RANK(F$65,$D$65:$R$65,1)</f>
        <v>1</v>
      </c>
      <c r="G66" s="14">
        <f>RANK(G$65,$D$65:$R$65,1)</f>
        <v>14</v>
      </c>
      <c r="H66" s="14">
        <f>RANK(H$65,$D$65:$R$65,1)</f>
        <v>10</v>
      </c>
      <c r="I66" s="14">
        <f>RANK(I$65,$D$65:$R$65,1)</f>
        <v>12</v>
      </c>
      <c r="J66" s="14">
        <f>RANK(J$65,$D$65:$R$65,1)</f>
        <v>9</v>
      </c>
      <c r="K66" s="14">
        <f>RANK(K$65,$D$65:$R$65,1)</f>
        <v>5</v>
      </c>
      <c r="L66" s="14">
        <f>RANK(L$65,$D$65:$R$65,1)</f>
        <v>6</v>
      </c>
      <c r="M66" s="14">
        <f>RANK(M$65,$D$65:$R$65,1)</f>
        <v>7</v>
      </c>
      <c r="N66" s="14">
        <f>RANK(N$65,$D$65:$R$65,1)</f>
        <v>11</v>
      </c>
      <c r="O66" s="14">
        <f>RANK(O$65,$D$65:$R$65,1)</f>
        <v>8</v>
      </c>
      <c r="P66" s="14">
        <f>RANK(P$65,$D$65:$R$65,1)</f>
        <v>2</v>
      </c>
      <c r="Q66" s="14">
        <f>RANK(Q$65,$D$65:$R$65,1)</f>
        <v>15</v>
      </c>
      <c r="R66" s="14">
        <f>RANK(R$65,$D$65:$R$65,1)</f>
        <v>13</v>
      </c>
    </row>
    <row r="67" spans="1:18" ht="12.75">
      <c r="A67" s="3" t="str">
        <f>"%'age growth rate (1995-2004)"</f>
        <v>%'age growth rate (1995-2004)</v>
      </c>
      <c r="B67" s="29">
        <v>0.35700000000000004</v>
      </c>
      <c r="C67" s="29">
        <f>AVERAGE($D67:$R67)</f>
        <v>0.22466666666666668</v>
      </c>
      <c r="D67" s="29">
        <v>0.306</v>
      </c>
      <c r="E67" s="29">
        <v>0.25</v>
      </c>
      <c r="F67" s="29">
        <v>0.29</v>
      </c>
      <c r="G67" s="29">
        <v>0.26</v>
      </c>
      <c r="H67" s="29">
        <v>0.20600000000000002</v>
      </c>
      <c r="I67" s="29">
        <v>0.24</v>
      </c>
      <c r="J67" s="29">
        <v>0.261</v>
      </c>
      <c r="K67" s="29">
        <v>0.209</v>
      </c>
      <c r="L67" s="29">
        <v>0.192</v>
      </c>
      <c r="M67" s="29">
        <v>0.20500000000000002</v>
      </c>
      <c r="N67" s="29">
        <v>0.142</v>
      </c>
      <c r="O67" s="29">
        <v>0.247</v>
      </c>
      <c r="P67" s="29">
        <v>0.278</v>
      </c>
      <c r="Q67" s="29">
        <v>0.145</v>
      </c>
      <c r="R67" s="29">
        <v>0.139</v>
      </c>
    </row>
    <row r="68" spans="1:18" ht="12.75" outlineLevel="1">
      <c r="A68" s="11" t="s">
        <v>27</v>
      </c>
      <c r="B68" s="28"/>
      <c r="C68" s="26"/>
      <c r="D68" s="14">
        <f>RANK(D$67,$D$67:$R$67,1)</f>
        <v>15</v>
      </c>
      <c r="E68" s="14">
        <f>RANK(E$67,$D$67:$R$67,1)</f>
        <v>10</v>
      </c>
      <c r="F68" s="14">
        <f>RANK(F$67,$D$67:$R$67,1)</f>
        <v>14</v>
      </c>
      <c r="G68" s="14">
        <f>RANK(G$67,$D$67:$R$67,1)</f>
        <v>11</v>
      </c>
      <c r="H68" s="14">
        <f>RANK(H$67,$D$67:$R$67,1)</f>
        <v>6</v>
      </c>
      <c r="I68" s="14">
        <f>RANK(I$67,$D$67:$R$67,1)</f>
        <v>8</v>
      </c>
      <c r="J68" s="14">
        <f>RANK(J$67,$D$67:$R$67,1)</f>
        <v>12</v>
      </c>
      <c r="K68" s="14">
        <f>RANK(K$67,$D$67:$R$67,1)</f>
        <v>7</v>
      </c>
      <c r="L68" s="14">
        <f>RANK(L$67,$D$67:$R$67,1)</f>
        <v>4</v>
      </c>
      <c r="M68" s="14">
        <f>RANK(M$67,$D$67:$R$67,1)</f>
        <v>5</v>
      </c>
      <c r="N68" s="14">
        <f>RANK(N$67,$D$67:$R$67,1)</f>
        <v>2</v>
      </c>
      <c r="O68" s="14">
        <f>RANK(O$67,$D$67:$R$67,1)</f>
        <v>9</v>
      </c>
      <c r="P68" s="14">
        <f>RANK(P$67,$D$67:$R$67,1)</f>
        <v>13</v>
      </c>
      <c r="Q68" s="14">
        <f>RANK(Q$67,$D$67:$R$67,1)</f>
        <v>3</v>
      </c>
      <c r="R68" s="14">
        <f>RANK(R$67,$D$67:$R$67,1)</f>
        <v>1</v>
      </c>
    </row>
    <row r="69" spans="1:18" ht="12.75">
      <c r="A69" s="3" t="s">
        <v>42</v>
      </c>
      <c r="B69" s="30">
        <v>0.73</v>
      </c>
      <c r="C69" s="30">
        <f>AVERAGE($D69:$R69)</f>
        <v>0.8429333333333334</v>
      </c>
      <c r="D69" s="30">
        <v>0.94</v>
      </c>
      <c r="E69" s="30">
        <v>0.912</v>
      </c>
      <c r="F69" s="30">
        <v>0.994</v>
      </c>
      <c r="G69" s="30">
        <v>0.661</v>
      </c>
      <c r="H69" s="30">
        <v>0.83</v>
      </c>
      <c r="I69" s="30">
        <v>0.711</v>
      </c>
      <c r="J69" s="30">
        <v>0.806</v>
      </c>
      <c r="K69" s="30">
        <v>0.911</v>
      </c>
      <c r="L69" s="30">
        <v>0.908</v>
      </c>
      <c r="M69" s="30">
        <v>0.876</v>
      </c>
      <c r="N69" s="30">
        <v>0.848</v>
      </c>
      <c r="O69" s="30">
        <v>0.8270000000000001</v>
      </c>
      <c r="P69" s="30">
        <v>0.982</v>
      </c>
      <c r="Q69" s="30">
        <v>0.681</v>
      </c>
      <c r="R69" s="31">
        <v>0.757</v>
      </c>
    </row>
    <row r="70" spans="1:18" ht="12.75" outlineLevel="1">
      <c r="A70" s="11" t="s">
        <v>34</v>
      </c>
      <c r="B70" s="28"/>
      <c r="C70" s="26"/>
      <c r="D70" s="14">
        <f>RANK(D$66,$D$66:$R$66)</f>
        <v>13</v>
      </c>
      <c r="E70" s="14">
        <f>RANK(E$66,$D$66:$R$66)</f>
        <v>12</v>
      </c>
      <c r="F70" s="14">
        <f>RANK(F$66,$D$66:$R$66)</f>
        <v>15</v>
      </c>
      <c r="G70" s="14">
        <f>RANK(G$66,$D$66:$R$66)</f>
        <v>2</v>
      </c>
      <c r="H70" s="14">
        <f>RANK(H$66,$D$66:$R$66)</f>
        <v>6</v>
      </c>
      <c r="I70" s="14">
        <f>RANK(I$66,$D$66:$R$66)</f>
        <v>4</v>
      </c>
      <c r="J70" s="14">
        <f>RANK(J$66,$D$66:$R$66)</f>
        <v>7</v>
      </c>
      <c r="K70" s="14">
        <f>RANK(K$66,$D$66:$R$66)</f>
        <v>11</v>
      </c>
      <c r="L70" s="14">
        <f>RANK(L$66,$D$66:$R$66)</f>
        <v>10</v>
      </c>
      <c r="M70" s="14">
        <f>RANK(M$66,$D$66:$R$66)</f>
        <v>9</v>
      </c>
      <c r="N70" s="14">
        <f>RANK(N$66,$D$66:$R$66)</f>
        <v>5</v>
      </c>
      <c r="O70" s="14">
        <f>RANK(O$66,$D$66:$R$66)</f>
        <v>8</v>
      </c>
      <c r="P70" s="14">
        <f>RANK(P$66,$D$66:$R$66)</f>
        <v>14</v>
      </c>
      <c r="Q70" s="14">
        <f>RANK(Q$66,$D$66:$R$66)</f>
        <v>1</v>
      </c>
      <c r="R70" s="14">
        <f>RANK(R$66,$D$66:$R$66)</f>
        <v>3</v>
      </c>
    </row>
    <row r="71" spans="1:18" ht="12.75" outlineLevel="1">
      <c r="A71" s="11" t="s">
        <v>32</v>
      </c>
      <c r="B71" s="28"/>
      <c r="C71" s="26"/>
      <c r="D71" s="14">
        <v>4</v>
      </c>
      <c r="E71" s="14">
        <v>4</v>
      </c>
      <c r="F71" s="14">
        <v>4</v>
      </c>
      <c r="G71" s="14">
        <v>2</v>
      </c>
      <c r="H71" s="14">
        <v>3</v>
      </c>
      <c r="I71" s="14">
        <v>2</v>
      </c>
      <c r="J71" s="14">
        <v>3</v>
      </c>
      <c r="K71" s="14">
        <v>4</v>
      </c>
      <c r="L71" s="14">
        <v>4</v>
      </c>
      <c r="M71" s="14">
        <v>3</v>
      </c>
      <c r="N71" s="14">
        <v>3</v>
      </c>
      <c r="O71" s="14">
        <v>3</v>
      </c>
      <c r="P71" s="14">
        <v>4</v>
      </c>
      <c r="Q71" s="14">
        <v>2</v>
      </c>
      <c r="R71" s="14">
        <v>3</v>
      </c>
    </row>
    <row r="72" spans="1:1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ht="13.5">
      <c r="A73" s="2" t="s">
        <v>43</v>
      </c>
    </row>
    <row r="74" spans="1:18" ht="12.75">
      <c r="A74" s="3" t="str">
        <f>"Elem. teacher exp. in yrs (02-03)"</f>
        <v>Elem. teacher exp. in yrs (02-03)</v>
      </c>
      <c r="B74" s="9">
        <v>14</v>
      </c>
      <c r="C74" s="9">
        <f>SUM($D74:$R74)</f>
        <v>196.29999999999995</v>
      </c>
      <c r="D74" s="9">
        <v>12.6</v>
      </c>
      <c r="E74" s="9">
        <v>12</v>
      </c>
      <c r="F74" s="9">
        <v>14.4</v>
      </c>
      <c r="G74" s="9">
        <v>13.5</v>
      </c>
      <c r="H74" s="9">
        <v>12.1</v>
      </c>
      <c r="I74" s="9">
        <v>15.3</v>
      </c>
      <c r="J74" s="9">
        <v>11.6</v>
      </c>
      <c r="K74" s="9">
        <v>15.2</v>
      </c>
      <c r="L74" s="9">
        <v>12.8</v>
      </c>
      <c r="M74" s="9">
        <v>14</v>
      </c>
      <c r="N74" s="9">
        <v>14.3</v>
      </c>
      <c r="O74" s="9">
        <v>14.7</v>
      </c>
      <c r="P74" s="9">
        <v>12.2</v>
      </c>
      <c r="Q74" s="9">
        <v>10</v>
      </c>
      <c r="R74" s="9">
        <v>11.6</v>
      </c>
    </row>
    <row r="75" spans="1:18" ht="12.75" outlineLevel="1">
      <c r="A75" s="11" t="s">
        <v>27</v>
      </c>
      <c r="B75" s="11"/>
      <c r="C75" s="11"/>
      <c r="D75" s="11">
        <f>RANK(D$74,$D$74:$R$74,1)</f>
        <v>7</v>
      </c>
      <c r="E75" s="11">
        <f>RANK(E$74,$D$74:$R$74,1)</f>
        <v>4</v>
      </c>
      <c r="F75" s="11">
        <f>RANK(F$74,$D$74:$R$74,1)</f>
        <v>12</v>
      </c>
      <c r="G75" s="11">
        <f>RANK(G$74,$D$74:$R$74,1)</f>
        <v>9</v>
      </c>
      <c r="H75" s="11">
        <f>RANK(H$74,$D$74:$R$74,1)</f>
        <v>5</v>
      </c>
      <c r="I75" s="11">
        <f>RANK(I$74,$D$74:$R$74,1)</f>
        <v>15</v>
      </c>
      <c r="J75" s="11">
        <f>RANK(J$74,$D$74:$R$74,1)</f>
        <v>2</v>
      </c>
      <c r="K75" s="11">
        <f>RANK(K$74,$D$74:$R$74,1)</f>
        <v>14</v>
      </c>
      <c r="L75" s="11">
        <f>RANK(L$74,$D$74:$R$74,1)</f>
        <v>8</v>
      </c>
      <c r="M75" s="11">
        <f>RANK(M$74,$D$74:$R$74,1)</f>
        <v>10</v>
      </c>
      <c r="N75" s="11">
        <f>RANK(N$74,$D$74:$R$74,1)</f>
        <v>11</v>
      </c>
      <c r="O75" s="11">
        <f>RANK(O$74,$D$74:$R$74,1)</f>
        <v>13</v>
      </c>
      <c r="P75" s="11">
        <f>RANK(P$74,$D$74:$R$74,1)</f>
        <v>6</v>
      </c>
      <c r="Q75" s="11">
        <f>RANK(Q$74,$D$74:$R$74,1)</f>
        <v>1</v>
      </c>
      <c r="R75" s="11">
        <f>RANK(R$74,$D$74:$R$74,1)</f>
        <v>2</v>
      </c>
    </row>
    <row r="76" spans="1:18" ht="12.75">
      <c r="A76" s="3" t="str">
        <f>"%'age elem. teachers w/masters"</f>
        <v>%'age elem. teachers w/masters</v>
      </c>
      <c r="B76" s="29">
        <v>0.459</v>
      </c>
      <c r="C76" s="29">
        <f>AVERAGE($D76:$R76)</f>
        <v>0.4328666666666667</v>
      </c>
      <c r="D76" s="29">
        <v>0.47600000000000003</v>
      </c>
      <c r="E76" s="29">
        <v>0.331</v>
      </c>
      <c r="F76" s="29">
        <v>0.47600000000000003</v>
      </c>
      <c r="G76" s="29">
        <v>0.40299999999999997</v>
      </c>
      <c r="H76" s="29">
        <v>0.318</v>
      </c>
      <c r="I76" s="29">
        <v>0.55</v>
      </c>
      <c r="J76" s="29">
        <v>0.521</v>
      </c>
      <c r="K76" s="29">
        <v>0.527</v>
      </c>
      <c r="L76" s="29">
        <v>0.42100000000000004</v>
      </c>
      <c r="M76" s="29">
        <v>0.536</v>
      </c>
      <c r="N76" s="29">
        <v>0.389</v>
      </c>
      <c r="O76" s="29">
        <v>0.489</v>
      </c>
      <c r="P76" s="29">
        <v>0.461</v>
      </c>
      <c r="Q76" s="29">
        <v>0.269</v>
      </c>
      <c r="R76" s="29">
        <v>0.326</v>
      </c>
    </row>
    <row r="77" spans="1:18" ht="12.75" outlineLevel="1">
      <c r="A77" s="11" t="s">
        <v>27</v>
      </c>
      <c r="B77" s="28"/>
      <c r="C77" s="26"/>
      <c r="D77" s="14">
        <f>RANK(D$76,$D$76:$R$76,1)</f>
        <v>9</v>
      </c>
      <c r="E77" s="14">
        <f>RANK(E$76,$D$76:$R$76,1)</f>
        <v>4</v>
      </c>
      <c r="F77" s="14">
        <f>RANK(F$76,$D$76:$R$76,1)</f>
        <v>9</v>
      </c>
      <c r="G77" s="14">
        <f>RANK(G$76,$D$76:$R$76,1)</f>
        <v>6</v>
      </c>
      <c r="H77" s="14">
        <f>RANK(H$76,$D$76:$R$76,1)</f>
        <v>2</v>
      </c>
      <c r="I77" s="14">
        <f>RANK(I$76,$D$76:$R$76,1)</f>
        <v>15</v>
      </c>
      <c r="J77" s="14">
        <f>RANK(J$76,$D$76:$R$76,1)</f>
        <v>12</v>
      </c>
      <c r="K77" s="14">
        <f>RANK(K$76,$D$76:$R$76,1)</f>
        <v>13</v>
      </c>
      <c r="L77" s="14">
        <f>RANK(L$76,$D$76:$R$76,1)</f>
        <v>7</v>
      </c>
      <c r="M77" s="14">
        <f>RANK(M$76,$D$76:$R$76,1)</f>
        <v>14</v>
      </c>
      <c r="N77" s="14">
        <f>RANK(N$76,$D$76:$R$76,1)</f>
        <v>5</v>
      </c>
      <c r="O77" s="14">
        <f>RANK(O$76,$D$76:$R$76,1)</f>
        <v>11</v>
      </c>
      <c r="P77" s="14">
        <f>RANK(P$76,$D$76:$R$76,1)</f>
        <v>8</v>
      </c>
      <c r="Q77" s="14">
        <f>RANK(Q$76,$D$76:$R$76,1)</f>
        <v>1</v>
      </c>
      <c r="R77" s="14">
        <f>RANK(R$76,$D$76:$R$76,1)</f>
        <v>3</v>
      </c>
    </row>
    <row r="79" ht="13.5">
      <c r="A79" s="2" t="s">
        <v>44</v>
      </c>
    </row>
    <row r="80" spans="1:18" ht="12.75">
      <c r="A80" s="3" t="str">
        <f>"People within ¼ mi. of stop"</f>
        <v>People within ¼ mi. of stop</v>
      </c>
      <c r="B80" s="23">
        <f>B$82*B$14</f>
        <v>956999.9999999999</v>
      </c>
      <c r="C80" s="23">
        <f>SUM($D80:$R80)</f>
        <v>49235.3</v>
      </c>
      <c r="D80" s="23">
        <f>D$82*D$14</f>
        <v>681.6</v>
      </c>
      <c r="E80" s="23">
        <f>E$82*E$14</f>
        <v>5867.2</v>
      </c>
      <c r="F80" s="23">
        <f>F$82*F$14</f>
        <v>2541.4</v>
      </c>
      <c r="G80" s="23">
        <f>G$82*G$14</f>
        <v>1044.2</v>
      </c>
      <c r="H80" s="23">
        <f>H$82*H$14</f>
        <v>2175.6</v>
      </c>
      <c r="I80" s="23">
        <f>I$82*I$14</f>
        <v>2121</v>
      </c>
      <c r="J80" s="23">
        <f>J$82*J$14</f>
        <v>782</v>
      </c>
      <c r="K80" s="23">
        <f>K$82*K$14</f>
        <v>4738.3</v>
      </c>
      <c r="L80" s="23">
        <f>L$82*L$14</f>
        <v>2885.2999999999997</v>
      </c>
      <c r="M80" s="23">
        <f>M$82*M$14</f>
        <v>3782</v>
      </c>
      <c r="N80" s="23">
        <f>N$82*N$14</f>
        <v>2491</v>
      </c>
      <c r="O80" s="23">
        <f>O$82*O$14</f>
        <v>3727.8</v>
      </c>
      <c r="P80" s="23">
        <f>P$82*P$14</f>
        <v>11455</v>
      </c>
      <c r="Q80" s="23">
        <f>Q$82*Q$14</f>
        <v>2046</v>
      </c>
      <c r="R80" s="23">
        <f>R$82*R$14</f>
        <v>2896.8999999999996</v>
      </c>
    </row>
    <row r="81" spans="1:18" ht="12.75" outlineLevel="1">
      <c r="A81" s="11" t="s">
        <v>23</v>
      </c>
      <c r="B81" s="11"/>
      <c r="C81" s="11"/>
      <c r="D81" s="11">
        <f>RANK(D$80,$D$80:$R$80,1)</f>
        <v>1</v>
      </c>
      <c r="E81" s="11">
        <f>RANK(E$80,$D$80:$R$80,1)</f>
        <v>14</v>
      </c>
      <c r="F81" s="11">
        <f>RANK(F$80,$D$80:$R$80,1)</f>
        <v>8</v>
      </c>
      <c r="G81" s="11">
        <f>RANK(G$80,$D$80:$R$80,1)</f>
        <v>3</v>
      </c>
      <c r="H81" s="11">
        <f>RANK(H$80,$D$80:$R$80,1)</f>
        <v>6</v>
      </c>
      <c r="I81" s="11">
        <f>RANK(I$80,$D$80:$R$80,1)</f>
        <v>5</v>
      </c>
      <c r="J81" s="11">
        <f>RANK(J$80,$D$80:$R$80,1)</f>
        <v>2</v>
      </c>
      <c r="K81" s="11">
        <f>RANK(K$80,$D$80:$R$80,1)</f>
        <v>13</v>
      </c>
      <c r="L81" s="11">
        <f>RANK(L$80,$D$80:$R$80,1)</f>
        <v>9</v>
      </c>
      <c r="M81" s="11">
        <f>RANK(M$80,$D$80:$R$80,1)</f>
        <v>12</v>
      </c>
      <c r="N81" s="11">
        <f>RANK(N$80,$D$80:$R$80,1)</f>
        <v>7</v>
      </c>
      <c r="O81" s="11">
        <f>RANK(O$80,$D$80:$R$80,1)</f>
        <v>11</v>
      </c>
      <c r="P81" s="11">
        <f>RANK(P$80,$D$80:$R$80,1)</f>
        <v>15</v>
      </c>
      <c r="Q81" s="11">
        <f>RANK(Q$80,$D$80:$R$80,1)</f>
        <v>4</v>
      </c>
      <c r="R81" s="11">
        <f>RANK(R$80,$D$80:$R$80,1)</f>
        <v>10</v>
      </c>
    </row>
    <row r="82" spans="1:18" ht="12.75">
      <c r="A82" s="3" t="str">
        <f>"%'age people within ¼ mi. of stop"</f>
        <v>%'age people within ¼ mi. of stop</v>
      </c>
      <c r="B82" s="32">
        <v>0.58</v>
      </c>
      <c r="C82" s="32">
        <f>AVERAGE($D82:$R82)</f>
        <v>0.5160000000000001</v>
      </c>
      <c r="D82" s="32">
        <v>0.24</v>
      </c>
      <c r="E82" s="32">
        <v>0.76</v>
      </c>
      <c r="F82" s="32">
        <v>0.97</v>
      </c>
      <c r="G82" s="32">
        <v>0.23</v>
      </c>
      <c r="H82" s="32">
        <v>0.49</v>
      </c>
      <c r="I82" s="32">
        <v>0.35</v>
      </c>
      <c r="J82" s="32">
        <v>0.2</v>
      </c>
      <c r="K82" s="32">
        <v>0.49</v>
      </c>
      <c r="L82" s="32">
        <v>0.61</v>
      </c>
      <c r="M82" s="32">
        <v>0.62</v>
      </c>
      <c r="N82" s="32">
        <v>0.53</v>
      </c>
      <c r="O82" s="32">
        <v>0.5700000000000001</v>
      </c>
      <c r="P82" s="32">
        <v>0.79</v>
      </c>
      <c r="Q82" s="32">
        <v>0.3</v>
      </c>
      <c r="R82" s="32">
        <v>0.59</v>
      </c>
    </row>
    <row r="83" spans="1:18" ht="12.75" outlineLevel="1">
      <c r="A83" s="11" t="s">
        <v>27</v>
      </c>
      <c r="B83" s="11"/>
      <c r="C83" s="11"/>
      <c r="D83" s="11">
        <f>RANK(D$82,$D$82:$R$82,1)</f>
        <v>3</v>
      </c>
      <c r="E83" s="11">
        <f>RANK(E$82,$D$82:$R$82,1)</f>
        <v>13</v>
      </c>
      <c r="F83" s="11">
        <f>RANK(F$82,$D$82:$R$82,1)</f>
        <v>15</v>
      </c>
      <c r="G83" s="11">
        <f>RANK(G$82,$D$82:$R$82,1)</f>
        <v>2</v>
      </c>
      <c r="H83" s="11">
        <f>RANK(H$82,$D$82:$R$82,1)</f>
        <v>6</v>
      </c>
      <c r="I83" s="11">
        <f>RANK(I$82,$D$82:$R$82,1)</f>
        <v>5</v>
      </c>
      <c r="J83" s="11">
        <f>RANK(J$82,$D$82:$R$82,1)</f>
        <v>1</v>
      </c>
      <c r="K83" s="11">
        <f>RANK(K$82,$D$82:$R$82,1)</f>
        <v>6</v>
      </c>
      <c r="L83" s="11">
        <f>RANK(L$82,$D$82:$R$82,1)</f>
        <v>11</v>
      </c>
      <c r="M83" s="11">
        <f>RANK(M$82,$D$82:$R$82,1)</f>
        <v>12</v>
      </c>
      <c r="N83" s="11">
        <f>RANK(N$82,$D$82:$R$82,1)</f>
        <v>8</v>
      </c>
      <c r="O83" s="11">
        <f>RANK(O$82,$D$82:$R$82,1)</f>
        <v>9</v>
      </c>
      <c r="P83" s="11">
        <f>RANK(P$82,$D$82:$R$82,1)</f>
        <v>14</v>
      </c>
      <c r="Q83" s="11">
        <f>RANK(Q$82,$D$82:$R$82,1)</f>
        <v>4</v>
      </c>
      <c r="R83" s="11">
        <f>RANK(R$82,$D$82:$R$82,1)</f>
        <v>10</v>
      </c>
    </row>
    <row r="84" spans="1:18" ht="12.75" outlineLevel="1">
      <c r="A84" s="11" t="s">
        <v>32</v>
      </c>
      <c r="B84" s="11"/>
      <c r="C84" s="11"/>
      <c r="D84" s="11">
        <v>1</v>
      </c>
      <c r="E84" s="11">
        <v>3</v>
      </c>
      <c r="F84" s="11">
        <v>4</v>
      </c>
      <c r="G84" s="11">
        <v>1</v>
      </c>
      <c r="H84" s="11">
        <v>2</v>
      </c>
      <c r="I84" s="11">
        <v>2</v>
      </c>
      <c r="J84" s="11">
        <v>1</v>
      </c>
      <c r="K84" s="11">
        <v>2</v>
      </c>
      <c r="L84" s="11">
        <v>3</v>
      </c>
      <c r="M84" s="11">
        <v>3</v>
      </c>
      <c r="N84" s="11">
        <v>2</v>
      </c>
      <c r="O84" s="11">
        <v>2</v>
      </c>
      <c r="P84" s="11">
        <v>3</v>
      </c>
      <c r="Q84" s="11">
        <v>2</v>
      </c>
      <c r="R84" s="11">
        <v>3</v>
      </c>
    </row>
    <row r="85" spans="1:18" ht="12.75">
      <c r="A85" s="3" t="str">
        <f>"Avg. dist. to stop in blocks (280')"</f>
        <v>Avg. dist. to stop in blocks (280')</v>
      </c>
      <c r="B85" s="23">
        <v>10</v>
      </c>
      <c r="C85" s="23">
        <f>AVERAGE($D85:$R85)</f>
        <v>6</v>
      </c>
      <c r="D85" s="23">
        <v>9</v>
      </c>
      <c r="E85" s="23">
        <v>3</v>
      </c>
      <c r="F85" s="23">
        <v>2</v>
      </c>
      <c r="G85" s="23">
        <v>18</v>
      </c>
      <c r="H85" s="23">
        <v>4</v>
      </c>
      <c r="I85" s="23">
        <v>5</v>
      </c>
      <c r="J85" s="23">
        <v>10</v>
      </c>
      <c r="K85" s="23">
        <v>5</v>
      </c>
      <c r="L85" s="23">
        <v>5</v>
      </c>
      <c r="M85" s="23">
        <v>4</v>
      </c>
      <c r="N85" s="23">
        <v>4</v>
      </c>
      <c r="O85" s="23">
        <v>5</v>
      </c>
      <c r="P85" s="23">
        <v>3</v>
      </c>
      <c r="Q85" s="23">
        <v>9</v>
      </c>
      <c r="R85" s="23">
        <v>4</v>
      </c>
    </row>
    <row r="86" spans="1:18" ht="12.75" outlineLevel="1">
      <c r="A86" s="11" t="s">
        <v>45</v>
      </c>
      <c r="B86" s="11"/>
      <c r="C86" s="11"/>
      <c r="D86" s="11">
        <f>RANK(D$85,$D$85:$R$85)</f>
        <v>3</v>
      </c>
      <c r="E86" s="11">
        <f>RANK(E$85,$D$85:$R$85)</f>
        <v>13</v>
      </c>
      <c r="F86" s="11">
        <f>RANK(F$85,$D$85:$R$85)</f>
        <v>15</v>
      </c>
      <c r="G86" s="11">
        <f>RANK(G$85,$D$85:$R$85)</f>
        <v>1</v>
      </c>
      <c r="H86" s="11">
        <f>RANK(H$85,$D$85:$R$85)</f>
        <v>9</v>
      </c>
      <c r="I86" s="11">
        <f>RANK(I$85,$D$85:$R$85)</f>
        <v>5</v>
      </c>
      <c r="J86" s="11">
        <f>RANK(J$85,$D$85:$R$85)</f>
        <v>2</v>
      </c>
      <c r="K86" s="11">
        <f>RANK(K$85,$D$85:$R$85)</f>
        <v>5</v>
      </c>
      <c r="L86" s="11">
        <f>RANK(L$85,$D$85:$R$85)</f>
        <v>5</v>
      </c>
      <c r="M86" s="11">
        <f>RANK(M$85,$D$85:$R$85)</f>
        <v>9</v>
      </c>
      <c r="N86" s="11">
        <f>RANK(N$85,$D$85:$R$85)</f>
        <v>9</v>
      </c>
      <c r="O86" s="11">
        <f>RANK(O$85,$D$85:$R$85)</f>
        <v>5</v>
      </c>
      <c r="P86" s="11">
        <f>RANK(P$85,$D$85:$R$85)</f>
        <v>13</v>
      </c>
      <c r="Q86" s="11">
        <f>RANK(Q$85,$D$85:$R$85)</f>
        <v>3</v>
      </c>
      <c r="R86" s="11">
        <f>RANK(R$85,$D$85:$R$85)</f>
        <v>9</v>
      </c>
    </row>
    <row r="87" spans="1:18" ht="12.75">
      <c r="A87" s="3" t="str">
        <f>"People per trip per hour"</f>
        <v>People per trip per hour</v>
      </c>
      <c r="B87" s="23">
        <v>221</v>
      </c>
      <c r="C87" s="23">
        <f>AVERAGE($D87:$R87)</f>
        <v>311</v>
      </c>
      <c r="D87" s="23">
        <v>526</v>
      </c>
      <c r="E87" s="23">
        <v>149</v>
      </c>
      <c r="F87" s="23">
        <v>13</v>
      </c>
      <c r="G87" s="23">
        <v>227</v>
      </c>
      <c r="H87" s="23">
        <v>200</v>
      </c>
      <c r="I87" s="23">
        <v>508</v>
      </c>
      <c r="J87" s="23">
        <v>587</v>
      </c>
      <c r="K87" s="23">
        <v>353</v>
      </c>
      <c r="L87" s="23">
        <v>227</v>
      </c>
      <c r="M87" s="23">
        <v>345</v>
      </c>
      <c r="N87" s="23">
        <v>196</v>
      </c>
      <c r="O87" s="23">
        <v>383</v>
      </c>
      <c r="P87" s="23">
        <v>167</v>
      </c>
      <c r="Q87" s="23">
        <v>536</v>
      </c>
      <c r="R87" s="23">
        <v>248</v>
      </c>
    </row>
    <row r="88" spans="1:18" ht="12.75" outlineLevel="1">
      <c r="A88" s="33" t="s">
        <v>46</v>
      </c>
      <c r="B88" s="34"/>
      <c r="C88" s="34"/>
      <c r="D88" s="33">
        <f>RANK(D$87,$D$87:$R$87)</f>
        <v>3</v>
      </c>
      <c r="E88" s="33">
        <f>RANK(E$87,$D$87:$R$87)</f>
        <v>14</v>
      </c>
      <c r="F88" s="33">
        <f>RANK(F$87,$D$87:$R$87)</f>
        <v>15</v>
      </c>
      <c r="G88" s="33">
        <f>RANK(G$87,$D$87:$R$87)</f>
        <v>9</v>
      </c>
      <c r="H88" s="33">
        <f>RANK(H$87,$D$87:$R$87)</f>
        <v>11</v>
      </c>
      <c r="I88" s="33">
        <f>RANK(I$87,$D$87:$R$87)</f>
        <v>4</v>
      </c>
      <c r="J88" s="33">
        <f>RANK(J$87,$D$87:$R$87)</f>
        <v>1</v>
      </c>
      <c r="K88" s="33">
        <f>RANK(K$87,$D$87:$R$87)</f>
        <v>6</v>
      </c>
      <c r="L88" s="33">
        <f>RANK(L$87,$D$87:$R$87)</f>
        <v>9</v>
      </c>
      <c r="M88" s="33">
        <f>RANK(M$87,$D$87:$R$87)</f>
        <v>7</v>
      </c>
      <c r="N88" s="33">
        <f>RANK(N$87,$D$87:$R$87)</f>
        <v>12</v>
      </c>
      <c r="O88" s="33">
        <f>RANK(O$87,$D$87:$R$87)</f>
        <v>5</v>
      </c>
      <c r="P88" s="33">
        <f>RANK(P$87,$D$87:$R$87)</f>
        <v>13</v>
      </c>
      <c r="Q88" s="33">
        <f>RANK(Q$87,$D$87:$R$87)</f>
        <v>2</v>
      </c>
      <c r="R88" s="33">
        <f>RANK(R$87,$D$87:$R$87)</f>
        <v>8</v>
      </c>
    </row>
    <row r="89" spans="1:18" ht="12.75" outlineLevel="1">
      <c r="A89" s="11" t="s">
        <v>32</v>
      </c>
      <c r="B89" s="34"/>
      <c r="C89" s="34"/>
      <c r="D89" s="33">
        <v>1</v>
      </c>
      <c r="E89" s="33">
        <v>3</v>
      </c>
      <c r="F89" s="33">
        <v>4</v>
      </c>
      <c r="G89" s="33">
        <v>1</v>
      </c>
      <c r="H89" s="33">
        <v>3</v>
      </c>
      <c r="I89" s="33">
        <v>2</v>
      </c>
      <c r="J89" s="33">
        <v>1</v>
      </c>
      <c r="K89" s="33">
        <v>2</v>
      </c>
      <c r="L89" s="33">
        <v>3</v>
      </c>
      <c r="M89" s="33">
        <v>3</v>
      </c>
      <c r="N89" s="33">
        <v>3</v>
      </c>
      <c r="O89" s="33">
        <v>2</v>
      </c>
      <c r="P89" s="33">
        <v>3</v>
      </c>
      <c r="Q89" s="33">
        <v>1</v>
      </c>
      <c r="R89" s="33">
        <v>3</v>
      </c>
    </row>
    <row r="91" spans="1:18" ht="13.5">
      <c r="A91" s="2" t="s">
        <v>47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>
      <c r="A92" s="3" t="str">
        <f>"People within ¼ mi. of park"</f>
        <v>People within ¼ mi. of park</v>
      </c>
      <c r="B92" s="23">
        <f>B$94*B$14</f>
        <v>808500</v>
      </c>
      <c r="C92" s="23">
        <f>SUM($D92:$R92)</f>
        <v>45873.200000000004</v>
      </c>
      <c r="D92" s="23">
        <f>D$94*D$14</f>
        <v>1732.3999999999999</v>
      </c>
      <c r="E92" s="23">
        <f>E$94*E$14</f>
        <v>3551.2000000000003</v>
      </c>
      <c r="F92" s="23">
        <f>F$94*F$14</f>
        <v>655</v>
      </c>
      <c r="G92" s="23">
        <f>G$94*G$14</f>
        <v>3722.8</v>
      </c>
      <c r="H92" s="23">
        <f>H$94*H$14</f>
        <v>3729.6</v>
      </c>
      <c r="I92" s="23">
        <f>I$94*I$14</f>
        <v>2484.6000000000004</v>
      </c>
      <c r="J92" s="23">
        <f>J$94*J$14</f>
        <v>1955</v>
      </c>
      <c r="K92" s="23">
        <f>K$94*K$14</f>
        <v>4158.1</v>
      </c>
      <c r="L92" s="23">
        <f>L$94*L$14</f>
        <v>1986.6</v>
      </c>
      <c r="M92" s="23">
        <f>M$94*M$14</f>
        <v>3537.9999999999995</v>
      </c>
      <c r="N92" s="23">
        <f>N$94*N$14</f>
        <v>2256</v>
      </c>
      <c r="O92" s="23">
        <f>O$94*O$14</f>
        <v>3858.6</v>
      </c>
      <c r="P92" s="23">
        <f>P$94*P$14</f>
        <v>5510</v>
      </c>
      <c r="Q92" s="23">
        <f>Q$94*Q$14</f>
        <v>5115</v>
      </c>
      <c r="R92" s="23">
        <f>R$94*R$14</f>
        <v>1620.3000000000002</v>
      </c>
    </row>
    <row r="93" spans="1:18" ht="12.75" outlineLevel="1">
      <c r="A93" s="11" t="s">
        <v>34</v>
      </c>
      <c r="B93" s="11"/>
      <c r="C93" s="11"/>
      <c r="D93" s="11">
        <f>RANK(D$92,$D$92:$R$92,1)</f>
        <v>3</v>
      </c>
      <c r="E93" s="11">
        <f>RANK(E$92,$D$92:$R$92,1)</f>
        <v>9</v>
      </c>
      <c r="F93" s="11">
        <f>RANK(F$92,$D$92:$R$92,1)</f>
        <v>1</v>
      </c>
      <c r="G93" s="11">
        <f>RANK(G$92,$D$92:$R$92,1)</f>
        <v>10</v>
      </c>
      <c r="H93" s="11">
        <f>RANK(H$92,$D$92:$R$92,1)</f>
        <v>11</v>
      </c>
      <c r="I93" s="11">
        <f>RANK(I$92,$D$92:$R$92,1)</f>
        <v>7</v>
      </c>
      <c r="J93" s="11">
        <f>RANK(J$92,$D$92:$R$92,1)</f>
        <v>4</v>
      </c>
      <c r="K93" s="11">
        <f>RANK(K$92,$D$92:$R$92,1)</f>
        <v>13</v>
      </c>
      <c r="L93" s="11">
        <f>RANK(L$92,$D$92:$R$92,1)</f>
        <v>5</v>
      </c>
      <c r="M93" s="11">
        <f>RANK(M$92,$D$92:$R$92,1)</f>
        <v>8</v>
      </c>
      <c r="N93" s="11">
        <f>RANK(N$92,$D$92:$R$92,1)</f>
        <v>6</v>
      </c>
      <c r="O93" s="11">
        <f>RANK(O$92,$D$92:$R$92,1)</f>
        <v>12</v>
      </c>
      <c r="P93" s="11">
        <f>RANK(P$92,$D$92:$R$92,1)</f>
        <v>15</v>
      </c>
      <c r="Q93" s="11">
        <f>RANK(Q$92,$D$92:$R$92,1)</f>
        <v>14</v>
      </c>
      <c r="R93" s="11">
        <f>RANK(R$92,$D$92:$R$92,1)</f>
        <v>2</v>
      </c>
    </row>
    <row r="94" spans="1:18" ht="12.75">
      <c r="A94" s="3" t="str">
        <f>"%'age pop. within ¼ mi. of park"</f>
        <v>%'age pop. within ¼ mi. of park</v>
      </c>
      <c r="B94" s="32">
        <v>0.49</v>
      </c>
      <c r="C94" s="32">
        <f>AVERAGE($D94:$R94)</f>
        <v>0.5233333333333334</v>
      </c>
      <c r="D94" s="32">
        <v>0.61</v>
      </c>
      <c r="E94" s="32">
        <v>0.46</v>
      </c>
      <c r="F94" s="32">
        <v>0.25</v>
      </c>
      <c r="G94" s="32">
        <v>0.82</v>
      </c>
      <c r="H94" s="32">
        <v>0.84</v>
      </c>
      <c r="I94" s="32">
        <v>0.41</v>
      </c>
      <c r="J94" s="32">
        <v>0.5</v>
      </c>
      <c r="K94" s="32">
        <v>0.43</v>
      </c>
      <c r="L94" s="32">
        <v>0.42</v>
      </c>
      <c r="M94" s="32">
        <v>0.58</v>
      </c>
      <c r="N94" s="32">
        <v>0.48</v>
      </c>
      <c r="O94" s="32">
        <v>0.59</v>
      </c>
      <c r="P94" s="32">
        <v>0.38</v>
      </c>
      <c r="Q94" s="32">
        <v>0.75</v>
      </c>
      <c r="R94" s="32">
        <v>0.33</v>
      </c>
    </row>
    <row r="95" spans="1:18" ht="12.75" outlineLevel="1">
      <c r="A95" s="11" t="s">
        <v>27</v>
      </c>
      <c r="B95" s="11"/>
      <c r="C95" s="11"/>
      <c r="D95" s="11">
        <f>RANK(D$94,$D$94:$R$94,1)</f>
        <v>12</v>
      </c>
      <c r="E95" s="11">
        <f>RANK(E$94,$D$94:$R$94,1)</f>
        <v>7</v>
      </c>
      <c r="F95" s="11">
        <f>RANK(F$94,$D$94:$R$94,1)</f>
        <v>1</v>
      </c>
      <c r="G95" s="11">
        <f>RANK(G$94,$D$94:$R$94,1)</f>
        <v>14</v>
      </c>
      <c r="H95" s="11">
        <f>RANK(H$94,$D$94:$R$94,1)</f>
        <v>15</v>
      </c>
      <c r="I95" s="11">
        <f>RANK(I$94,$D$94:$R$94,1)</f>
        <v>4</v>
      </c>
      <c r="J95" s="11">
        <f>RANK(J$94,$D$94:$R$94,1)</f>
        <v>9</v>
      </c>
      <c r="K95" s="11">
        <f>RANK(K$94,$D$94:$R$94,1)</f>
        <v>6</v>
      </c>
      <c r="L95" s="11">
        <f>RANK(L$94,$D$94:$R$94,1)</f>
        <v>5</v>
      </c>
      <c r="M95" s="11">
        <f>RANK(M$94,$D$94:$R$94,1)</f>
        <v>10</v>
      </c>
      <c r="N95" s="11">
        <f>RANK(N$94,$D$94:$R$94,1)</f>
        <v>8</v>
      </c>
      <c r="O95" s="11">
        <f>RANK(O$94,$D$94:$R$94,1)</f>
        <v>11</v>
      </c>
      <c r="P95" s="11">
        <f>RANK(P$94,$D$94:$R$94,1)</f>
        <v>3</v>
      </c>
      <c r="Q95" s="11">
        <f>RANK(Q$94,$D$94:$R$94,1)</f>
        <v>13</v>
      </c>
      <c r="R95" s="11">
        <f>RANK(R$94,$D$94:$R$94,1)</f>
        <v>2</v>
      </c>
    </row>
    <row r="96" spans="1:18" ht="12.75" outlineLevel="1">
      <c r="A96" s="11" t="s">
        <v>32</v>
      </c>
      <c r="B96" s="11"/>
      <c r="C96" s="11"/>
      <c r="D96" s="11">
        <v>3</v>
      </c>
      <c r="E96" s="11">
        <v>2</v>
      </c>
      <c r="F96" s="11">
        <v>2</v>
      </c>
      <c r="G96" s="11">
        <v>4</v>
      </c>
      <c r="H96" s="11">
        <v>3</v>
      </c>
      <c r="I96" s="11">
        <v>3</v>
      </c>
      <c r="J96" s="11">
        <v>3</v>
      </c>
      <c r="K96" s="11">
        <v>2</v>
      </c>
      <c r="L96" s="11">
        <v>2</v>
      </c>
      <c r="M96" s="11">
        <v>3</v>
      </c>
      <c r="N96" s="11">
        <v>2</v>
      </c>
      <c r="O96" s="11">
        <v>3</v>
      </c>
      <c r="P96" s="11">
        <v>2</v>
      </c>
      <c r="Q96" s="11">
        <v>4</v>
      </c>
      <c r="R96" s="11">
        <v>2</v>
      </c>
    </row>
    <row r="97" spans="1:18" ht="12.75">
      <c r="A97" s="3" t="str">
        <f>"Avg. dist. to park in blocks (280')"</f>
        <v>Avg. dist. to park in blocks (280')</v>
      </c>
      <c r="B97" s="23">
        <v>7</v>
      </c>
      <c r="C97" s="23">
        <f>AVERAGE($D97:$R97)</f>
        <v>5</v>
      </c>
      <c r="D97" s="23">
        <v>4</v>
      </c>
      <c r="E97" s="23">
        <v>5</v>
      </c>
      <c r="F97" s="23">
        <v>6</v>
      </c>
      <c r="G97" s="23">
        <v>3</v>
      </c>
      <c r="H97" s="23">
        <v>2</v>
      </c>
      <c r="I97" s="23">
        <v>6</v>
      </c>
      <c r="J97" s="23">
        <v>5</v>
      </c>
      <c r="K97" s="23">
        <v>6</v>
      </c>
      <c r="L97" s="23">
        <v>7</v>
      </c>
      <c r="M97" s="23">
        <v>5</v>
      </c>
      <c r="N97" s="23">
        <v>5</v>
      </c>
      <c r="O97" s="23">
        <v>4</v>
      </c>
      <c r="P97" s="23">
        <v>6</v>
      </c>
      <c r="Q97" s="23">
        <v>3</v>
      </c>
      <c r="R97" s="23">
        <v>8</v>
      </c>
    </row>
    <row r="98" spans="1:18" ht="12.75" outlineLevel="1">
      <c r="A98" s="11" t="s">
        <v>45</v>
      </c>
      <c r="B98" s="11"/>
      <c r="C98" s="11"/>
      <c r="D98" s="11">
        <f>RANK(D$97,$D$97:$R$97)</f>
        <v>11</v>
      </c>
      <c r="E98" s="11">
        <f>RANK(E$97,$D$97:$R$97)</f>
        <v>7</v>
      </c>
      <c r="F98" s="11">
        <f>RANK(F$97,$D$97:$R$97)</f>
        <v>3</v>
      </c>
      <c r="G98" s="11">
        <f>RANK(G$97,$D$97:$R$97)</f>
        <v>13</v>
      </c>
      <c r="H98" s="11">
        <f>RANK(H$97,$D$97:$R$97)</f>
        <v>15</v>
      </c>
      <c r="I98" s="11">
        <f>RANK(I$97,$D$97:$R$97)</f>
        <v>3</v>
      </c>
      <c r="J98" s="11">
        <f>RANK(J$97,$D$97:$R$97)</f>
        <v>7</v>
      </c>
      <c r="K98" s="11">
        <f>RANK(K$97,$D$97:$R$97)</f>
        <v>3</v>
      </c>
      <c r="L98" s="11">
        <f>RANK(L$97,$D$97:$R$97)</f>
        <v>2</v>
      </c>
      <c r="M98" s="11">
        <f>RANK(M$97,$D$97:$R$97)</f>
        <v>7</v>
      </c>
      <c r="N98" s="11">
        <f>RANK(N$97,$D$97:$R$97)</f>
        <v>7</v>
      </c>
      <c r="O98" s="11">
        <f>RANK(O$97,$D$97:$R$97)</f>
        <v>11</v>
      </c>
      <c r="P98" s="11">
        <f>RANK(P$97,$D$97:$R$97)</f>
        <v>3</v>
      </c>
      <c r="Q98" s="11">
        <f>RANK(Q$97,$D$97:$R$97)</f>
        <v>13</v>
      </c>
      <c r="R98" s="11">
        <f>RANK(R$97,$D$97:$R$97)</f>
        <v>1</v>
      </c>
    </row>
    <row r="99" spans="1:18" ht="12.75">
      <c r="A99" s="3" t="s">
        <v>48</v>
      </c>
      <c r="B99" s="23">
        <f>(1/780)*B$14</f>
        <v>2115.3846153846152</v>
      </c>
      <c r="C99" s="23">
        <f>SUM($D99:$R99)</f>
        <v>962.8324279636778</v>
      </c>
      <c r="D99" s="23">
        <f>(1/40)*D$14</f>
        <v>71</v>
      </c>
      <c r="E99" s="23">
        <f>(1/130)*E$14</f>
        <v>59.38461538461539</v>
      </c>
      <c r="F99" s="23">
        <f>(1/70)*F$14</f>
        <v>37.42857142857143</v>
      </c>
      <c r="G99" s="23">
        <f>(1/20)*G$14</f>
        <v>227</v>
      </c>
      <c r="H99" s="23">
        <f>(1/40)*H$14</f>
        <v>111</v>
      </c>
      <c r="I99" s="23">
        <f>(1/240)*I$14</f>
        <v>25.25</v>
      </c>
      <c r="J99" s="23">
        <f>(1/150)*J$14</f>
        <v>26.06666666666667</v>
      </c>
      <c r="K99" s="23">
        <f>(1/320)*K$14</f>
        <v>30.21875</v>
      </c>
      <c r="L99" s="23">
        <f>(1/370)*L$14</f>
        <v>12.783783783783784</v>
      </c>
      <c r="M99" s="23">
        <f>(1/150)*M$14</f>
        <v>40.66666666666667</v>
      </c>
      <c r="N99" s="23">
        <f>(1/270)*N$14</f>
        <v>17.40740740740741</v>
      </c>
      <c r="O99" s="23">
        <f>(1/140)*O$14</f>
        <v>46.714285714285715</v>
      </c>
      <c r="P99" s="23">
        <f>(1/1170)*P$14</f>
        <v>12.393162393162394</v>
      </c>
      <c r="Q99" s="23">
        <f>(1/30)*Q$14</f>
        <v>227.33333333333334</v>
      </c>
      <c r="R99" s="23">
        <f>(1/270)*R$14</f>
        <v>18.185185185185187</v>
      </c>
    </row>
    <row r="100" spans="1:18" ht="12.75" outlineLevel="1">
      <c r="A100" s="33" t="s">
        <v>23</v>
      </c>
      <c r="B100" s="34"/>
      <c r="C100" s="34"/>
      <c r="D100" s="33">
        <f>RANK(D$99,$D$99:$R$99,1)</f>
        <v>12</v>
      </c>
      <c r="E100" s="33">
        <f>RANK(E$99,$D$99:$R$99,1)</f>
        <v>11</v>
      </c>
      <c r="F100" s="33">
        <f>RANK(F$99,$D$99:$R$99,1)</f>
        <v>8</v>
      </c>
      <c r="G100" s="33">
        <f>RANK(G$99,$D$99:$R$99,1)</f>
        <v>14</v>
      </c>
      <c r="H100" s="33">
        <f>RANK(H$99,$D$99:$R$99,1)</f>
        <v>13</v>
      </c>
      <c r="I100" s="33">
        <f>RANK(I$99,$D$99:$R$99,1)</f>
        <v>5</v>
      </c>
      <c r="J100" s="33">
        <f>RANK(J$99,$D$99:$R$99,1)</f>
        <v>6</v>
      </c>
      <c r="K100" s="33">
        <f>RANK(K$99,$D$99:$R$99,1)</f>
        <v>7</v>
      </c>
      <c r="L100" s="33">
        <f>RANK(L$99,$D$99:$R$99,1)</f>
        <v>2</v>
      </c>
      <c r="M100" s="33">
        <f>RANK(M$99,$D$99:$R$99,1)</f>
        <v>9</v>
      </c>
      <c r="N100" s="33">
        <f>RANK(N$99,$D$99:$R$99,1)</f>
        <v>3</v>
      </c>
      <c r="O100" s="33">
        <f>RANK(O$99,$D$99:$R$99,1)</f>
        <v>10</v>
      </c>
      <c r="P100" s="33">
        <f>RANK(P$99,$D$99:$R$99,1)</f>
        <v>1</v>
      </c>
      <c r="Q100" s="33">
        <f>RANK(Q$99,$D$99:$R$99,1)</f>
        <v>15</v>
      </c>
      <c r="R100" s="33">
        <f>RANK(R$99,$D$99:$R$99,1)</f>
        <v>4</v>
      </c>
    </row>
    <row r="101" spans="1:18" ht="12.75">
      <c r="A101" s="3" t="s">
        <v>49</v>
      </c>
      <c r="B101" s="9">
        <f>1000*(1/780)</f>
        <v>1.2820512820512822</v>
      </c>
      <c r="C101" s="9">
        <f>AVERAGE($D101:$R101)</f>
        <v>12.936268227934898</v>
      </c>
      <c r="D101" s="9">
        <f>1000*(1/40)</f>
        <v>25</v>
      </c>
      <c r="E101" s="9">
        <f>1000*(1/130)</f>
        <v>7.6923076923076925</v>
      </c>
      <c r="F101" s="9">
        <f>1000*(1/70)</f>
        <v>14.285714285714285</v>
      </c>
      <c r="G101" s="9">
        <f>1000*(1/20)</f>
        <v>50</v>
      </c>
      <c r="H101" s="9">
        <f>1000*(1/40)</f>
        <v>25</v>
      </c>
      <c r="I101" s="9">
        <f>1000*(1/240)</f>
        <v>4.166666666666667</v>
      </c>
      <c r="J101" s="9">
        <f>1000*(1/150)</f>
        <v>6.666666666666667</v>
      </c>
      <c r="K101" s="9">
        <f>1000*(1/320)</f>
        <v>3.125</v>
      </c>
      <c r="L101" s="9">
        <f>1000*(1/370)</f>
        <v>2.7027027027027026</v>
      </c>
      <c r="M101" s="9">
        <f>1000*(1/150)</f>
        <v>6.666666666666667</v>
      </c>
      <c r="N101" s="9">
        <f>1000*(1/270)</f>
        <v>3.7037037037037037</v>
      </c>
      <c r="O101" s="9">
        <f>1000*(1/140)</f>
        <v>7.142857142857142</v>
      </c>
      <c r="P101" s="9">
        <f>1000*(1/1170)</f>
        <v>0.8547008547008547</v>
      </c>
      <c r="Q101" s="9">
        <f>1000*(1/30)</f>
        <v>33.333333333333336</v>
      </c>
      <c r="R101" s="9">
        <f>1000*(1/270)</f>
        <v>3.7037037037037037</v>
      </c>
    </row>
    <row r="102" spans="1:18" ht="12.75" outlineLevel="1">
      <c r="A102" s="33" t="s">
        <v>23</v>
      </c>
      <c r="B102" s="34"/>
      <c r="C102" s="34"/>
      <c r="D102" s="33">
        <f>RANK(D$101,$D$101:$R$101,1)</f>
        <v>12</v>
      </c>
      <c r="E102" s="33">
        <f>RANK(E$101,$D$101:$R$101,1)</f>
        <v>10</v>
      </c>
      <c r="F102" s="33">
        <f>RANK(F$101,$D$101:$R$101,1)</f>
        <v>11</v>
      </c>
      <c r="G102" s="33">
        <f>RANK(G$101,$D$101:$R$101,1)</f>
        <v>15</v>
      </c>
      <c r="H102" s="33">
        <f>RANK(H$101,$D$101:$R$101,1)</f>
        <v>12</v>
      </c>
      <c r="I102" s="33">
        <f>RANK(I$101,$D$101:$R$101,1)</f>
        <v>6</v>
      </c>
      <c r="J102" s="33">
        <f>RANK(J$101,$D$101:$R$101,1)</f>
        <v>7</v>
      </c>
      <c r="K102" s="33">
        <f>RANK(K$101,$D$101:$R$101,1)</f>
        <v>3</v>
      </c>
      <c r="L102" s="33">
        <f>RANK(L$101,$D$101:$R$101,1)</f>
        <v>2</v>
      </c>
      <c r="M102" s="33">
        <f>RANK(M$101,$D$101:$R$101,1)</f>
        <v>7</v>
      </c>
      <c r="N102" s="33">
        <f>RANK(N$101,$D$101:$R$101,1)</f>
        <v>4</v>
      </c>
      <c r="O102" s="33">
        <f>RANK(O$101,$D$101:$R$101,1)</f>
        <v>9</v>
      </c>
      <c r="P102" s="33">
        <f>RANK(P$101,$D$101:$R$101,1)</f>
        <v>1</v>
      </c>
      <c r="Q102" s="33">
        <f>RANK(Q$101,$D$101:$R$101,1)</f>
        <v>14</v>
      </c>
      <c r="R102" s="33">
        <f>RANK(R$101,$D$101:$R$101,1)</f>
        <v>4</v>
      </c>
    </row>
    <row r="103" spans="1:18" ht="12.75" outlineLevel="1">
      <c r="A103" s="11" t="s">
        <v>32</v>
      </c>
      <c r="B103" s="34"/>
      <c r="C103" s="34"/>
      <c r="D103" s="33">
        <v>4</v>
      </c>
      <c r="E103" s="33">
        <v>4</v>
      </c>
      <c r="F103" s="33">
        <v>4</v>
      </c>
      <c r="G103" s="33">
        <v>4</v>
      </c>
      <c r="H103" s="33">
        <v>4</v>
      </c>
      <c r="I103" s="33">
        <v>3</v>
      </c>
      <c r="J103" s="33">
        <v>4</v>
      </c>
      <c r="K103" s="33">
        <v>3</v>
      </c>
      <c r="L103" s="33">
        <v>2</v>
      </c>
      <c r="M103" s="33">
        <v>3</v>
      </c>
      <c r="N103" s="33">
        <v>3</v>
      </c>
      <c r="O103" s="33">
        <v>4</v>
      </c>
      <c r="P103" s="33">
        <v>2</v>
      </c>
      <c r="Q103" s="33">
        <v>4</v>
      </c>
      <c r="R103" s="33">
        <v>2</v>
      </c>
    </row>
    <row r="104" spans="1:18" ht="12.75">
      <c r="A104" s="3" t="s">
        <v>50</v>
      </c>
      <c r="B104" s="35">
        <f>B$99/B$4</f>
        <v>0.006307802407516148</v>
      </c>
      <c r="C104" s="29">
        <f>AVERAGE($D104:$R104)</f>
        <v>0.08126157171678558</v>
      </c>
      <c r="D104" s="35">
        <f>D$99/D$4</f>
        <v>0.19810267857142855</v>
      </c>
      <c r="E104" s="35">
        <f>E$99/E$4</f>
        <v>0.052128349178910974</v>
      </c>
      <c r="F104" s="35">
        <f>F$99/F$4</f>
        <v>0.07902992277992278</v>
      </c>
      <c r="G104" s="35">
        <f>G$99/G$4</f>
        <v>0.11705858085808582</v>
      </c>
      <c r="H104" s="35">
        <f>H$99/H$4</f>
        <v>0.2843237704918033</v>
      </c>
      <c r="I104" s="35">
        <f>I$99/I$4</f>
        <v>0.023624625748502995</v>
      </c>
      <c r="J104" s="35">
        <f>J$99/J$4</f>
        <v>0.044270833333333336</v>
      </c>
      <c r="K104" s="35">
        <f>K$99/K$4</f>
        <v>0.018372294503891048</v>
      </c>
      <c r="L104" s="35">
        <f>L$99/L$4</f>
        <v>0.008997595568541513</v>
      </c>
      <c r="M104" s="35">
        <f>M$99/M$4</f>
        <v>0.05938473520249221</v>
      </c>
      <c r="N104" s="35">
        <f>N$99/N$4</f>
        <v>0.022478573614937252</v>
      </c>
      <c r="O104" s="35">
        <f>O$99/O$4</f>
        <v>0.06133703481392558</v>
      </c>
      <c r="P104" s="35">
        <f>P$99/P$4</f>
        <v>0.011002452408702408</v>
      </c>
      <c r="Q104" s="35">
        <f>Q$99/Q$4</f>
        <v>0.21791922290388552</v>
      </c>
      <c r="R104" s="35">
        <f>R$99/R$4</f>
        <v>0.020892905773420484</v>
      </c>
    </row>
    <row r="105" spans="1:18" ht="12.75" outlineLevel="1">
      <c r="A105" s="33" t="s">
        <v>27</v>
      </c>
      <c r="B105" s="34"/>
      <c r="C105" s="34"/>
      <c r="D105" s="33">
        <f>RANK(D$104,$D$104:$R$104,1)</f>
        <v>13</v>
      </c>
      <c r="E105" s="33">
        <f>RANK(E$104,$D$104:$R$104,1)</f>
        <v>8</v>
      </c>
      <c r="F105" s="33">
        <f>RANK(F$104,$D$104:$R$104,1)</f>
        <v>11</v>
      </c>
      <c r="G105" s="33">
        <f>RANK(G$104,$D$104:$R$104,1)</f>
        <v>12</v>
      </c>
      <c r="H105" s="33">
        <f>RANK(H$104,$D$104:$R$104,1)</f>
        <v>15</v>
      </c>
      <c r="I105" s="33">
        <f>RANK(I$104,$D$104:$R$104,1)</f>
        <v>6</v>
      </c>
      <c r="J105" s="33">
        <f>RANK(J$104,$D$104:$R$104,1)</f>
        <v>7</v>
      </c>
      <c r="K105" s="33">
        <f>RANK(K$104,$D$104:$R$104,1)</f>
        <v>3</v>
      </c>
      <c r="L105" s="33">
        <f>RANK(L$104,$D$104:$R$104,1)</f>
        <v>1</v>
      </c>
      <c r="M105" s="33">
        <f>RANK(M$104,$D$104:$R$104,1)</f>
        <v>9</v>
      </c>
      <c r="N105" s="33">
        <f>RANK(N$104,$D$104:$R$104,1)</f>
        <v>5</v>
      </c>
      <c r="O105" s="33">
        <f>RANK(O$104,$D$104:$R$104,1)</f>
        <v>10</v>
      </c>
      <c r="P105" s="33">
        <f>RANK(P$104,$D$104:$R$104,1)</f>
        <v>2</v>
      </c>
      <c r="Q105" s="33">
        <f>RANK(Q$104,$D$104:$R$104,1)</f>
        <v>14</v>
      </c>
      <c r="R105" s="33">
        <f>RANK(R$104,$D$104:$R$104,1)</f>
        <v>4</v>
      </c>
    </row>
    <row r="107" spans="1:18" ht="13.5">
      <c r="A107" s="2" t="s">
        <v>51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>
      <c r="A108" s="3" t="str">
        <f>"People within ¼ mi. of habitat"</f>
        <v>People within ¼ mi. of habitat</v>
      </c>
      <c r="B108" s="23">
        <f>B$110*B$14</f>
        <v>1056000</v>
      </c>
      <c r="C108" s="23">
        <f>SUM($D108:$R108)</f>
        <v>55047.7</v>
      </c>
      <c r="D108" s="23">
        <f>D$110*D$14</f>
        <v>2641.2000000000003</v>
      </c>
      <c r="E108" s="23">
        <f>E$110*E$14</f>
        <v>3860</v>
      </c>
      <c r="F108" s="23">
        <f>F$110*F$14</f>
        <v>471.59999999999997</v>
      </c>
      <c r="G108" s="23">
        <f>G$110*G$14</f>
        <v>4540</v>
      </c>
      <c r="H108" s="23">
        <f>H$110*H$14</f>
        <v>3552</v>
      </c>
      <c r="I108" s="23">
        <f>I$110*I$14</f>
        <v>5878.2</v>
      </c>
      <c r="J108" s="23">
        <f>J$110*J$14</f>
        <v>3831.7999999999997</v>
      </c>
      <c r="K108" s="23">
        <f>K$110*K$14</f>
        <v>3674.6</v>
      </c>
      <c r="L108" s="23">
        <f>L$110*L$14</f>
        <v>1419.0000000000002</v>
      </c>
      <c r="M108" s="23">
        <f>M$110*M$14</f>
        <v>5185</v>
      </c>
      <c r="N108" s="23">
        <f>N$110*N$14</f>
        <v>2021</v>
      </c>
      <c r="O108" s="23">
        <f>O$110*O$14</f>
        <v>5689.8</v>
      </c>
      <c r="P108" s="23">
        <f>P$110*P$14</f>
        <v>3625</v>
      </c>
      <c r="Q108" s="23">
        <f>Q$110*Q$14</f>
        <v>6547.2</v>
      </c>
      <c r="R108" s="23">
        <f>R$110*R$14</f>
        <v>2111.3</v>
      </c>
    </row>
    <row r="109" spans="1:18" ht="12.75" outlineLevel="1">
      <c r="A109" s="11" t="s">
        <v>34</v>
      </c>
      <c r="B109" s="11"/>
      <c r="C109" s="11"/>
      <c r="D109" s="11">
        <f>RANK(D$108,$D$108:$R$108,1)</f>
        <v>5</v>
      </c>
      <c r="E109" s="11">
        <f>RANK(E$108,$D$108:$R$108,1)</f>
        <v>10</v>
      </c>
      <c r="F109" s="11">
        <f>RANK(F$108,$D$108:$R$108,1)</f>
        <v>1</v>
      </c>
      <c r="G109" s="11">
        <f>RANK(G$108,$D$108:$R$108,1)</f>
        <v>11</v>
      </c>
      <c r="H109" s="11">
        <f>RANK(H$108,$D$108:$R$108,1)</f>
        <v>6</v>
      </c>
      <c r="I109" s="11">
        <f>RANK(I$108,$D$108:$R$108,1)</f>
        <v>14</v>
      </c>
      <c r="J109" s="11">
        <f>RANK(J$108,$D$108:$R$108,1)</f>
        <v>9</v>
      </c>
      <c r="K109" s="11">
        <f>RANK(K$108,$D$108:$R$108,1)</f>
        <v>8</v>
      </c>
      <c r="L109" s="11">
        <f>RANK(L$108,$D$108:$R$108,1)</f>
        <v>2</v>
      </c>
      <c r="M109" s="11">
        <f>RANK(M$108,$D$108:$R$108,1)</f>
        <v>12</v>
      </c>
      <c r="N109" s="11">
        <f>RANK(N$108,$D$108:$R$108,1)</f>
        <v>3</v>
      </c>
      <c r="O109" s="11">
        <f>RANK(O$108,$D$108:$R$108,1)</f>
        <v>13</v>
      </c>
      <c r="P109" s="11">
        <f>RANK(P$108,$D$108:$R$108,1)</f>
        <v>7</v>
      </c>
      <c r="Q109" s="11">
        <f>RANK(Q$108,$D$108:$R$108,1)</f>
        <v>15</v>
      </c>
      <c r="R109" s="11">
        <f>RANK(R$108,$D$108:$R$108,1)</f>
        <v>4</v>
      </c>
    </row>
    <row r="110" spans="1:18" ht="12.75">
      <c r="A110" s="3" t="str">
        <f>"%'age pop. within ¼ mi. of habitat"</f>
        <v>%'age pop. within ¼ mi. of habitat</v>
      </c>
      <c r="B110" s="32">
        <v>0.64</v>
      </c>
      <c r="C110" s="32">
        <f>AVERAGE($D110:$R110)</f>
        <v>0.6553333333333332</v>
      </c>
      <c r="D110" s="32">
        <v>0.93</v>
      </c>
      <c r="E110" s="32">
        <v>0.5</v>
      </c>
      <c r="F110" s="32">
        <v>0.18</v>
      </c>
      <c r="G110" s="32">
        <v>1</v>
      </c>
      <c r="H110" s="32">
        <v>0.8</v>
      </c>
      <c r="I110" s="32">
        <v>0.97</v>
      </c>
      <c r="J110" s="32">
        <v>0.98</v>
      </c>
      <c r="K110" s="32">
        <v>0.38</v>
      </c>
      <c r="L110" s="32">
        <v>0.30000000000000004</v>
      </c>
      <c r="M110" s="32">
        <v>0.85</v>
      </c>
      <c r="N110" s="32">
        <v>0.43</v>
      </c>
      <c r="O110" s="32">
        <v>0.87</v>
      </c>
      <c r="P110" s="32">
        <v>0.25</v>
      </c>
      <c r="Q110" s="32">
        <v>0.96</v>
      </c>
      <c r="R110" s="32">
        <v>0.43</v>
      </c>
    </row>
    <row r="111" spans="1:18" ht="12.75" outlineLevel="1">
      <c r="A111" s="11" t="s">
        <v>27</v>
      </c>
      <c r="B111" s="11"/>
      <c r="C111" s="11"/>
      <c r="D111" s="11">
        <f>RANK(D$110,$D$110:$R$110,1)</f>
        <v>11</v>
      </c>
      <c r="E111" s="11">
        <f>RANK(E$110,$D$110:$R$110,1)</f>
        <v>7</v>
      </c>
      <c r="F111" s="11">
        <f>RANK(F$110,$D$110:$R$110,1)</f>
        <v>1</v>
      </c>
      <c r="G111" s="11">
        <f>RANK(G$110,$D$110:$R$110,1)</f>
        <v>15</v>
      </c>
      <c r="H111" s="11">
        <f>RANK(H$110,$D$110:$R$110,1)</f>
        <v>8</v>
      </c>
      <c r="I111" s="11">
        <f>RANK(I$110,$D$110:$R$110,1)</f>
        <v>13</v>
      </c>
      <c r="J111" s="11">
        <f>RANK(J$110,$D$110:$R$110,1)</f>
        <v>14</v>
      </c>
      <c r="K111" s="11">
        <f>RANK(K$110,$D$110:$R$110,1)</f>
        <v>4</v>
      </c>
      <c r="L111" s="11">
        <f>RANK(L$110,$D$110:$R$110,1)</f>
        <v>3</v>
      </c>
      <c r="M111" s="11">
        <f>RANK(M$110,$D$110:$R$110,1)</f>
        <v>9</v>
      </c>
      <c r="N111" s="11">
        <f>RANK(N$110,$D$110:$R$110,1)</f>
        <v>5</v>
      </c>
      <c r="O111" s="11">
        <f>RANK(O$110,$D$110:$R$110,1)</f>
        <v>10</v>
      </c>
      <c r="P111" s="11">
        <f>RANK(P$110,$D$110:$R$110,1)</f>
        <v>2</v>
      </c>
      <c r="Q111" s="11">
        <f>RANK(Q$110,$D$110:$R$110,1)</f>
        <v>12</v>
      </c>
      <c r="R111" s="11">
        <f>RANK(R$110,$D$110:$R$110,1)</f>
        <v>5</v>
      </c>
    </row>
    <row r="112" spans="1:18" ht="12.75" outlineLevel="1">
      <c r="A112" s="11" t="s">
        <v>32</v>
      </c>
      <c r="B112" s="11"/>
      <c r="C112" s="11"/>
      <c r="D112" s="11">
        <v>3</v>
      </c>
      <c r="E112" s="11">
        <v>2</v>
      </c>
      <c r="F112" s="11">
        <v>2</v>
      </c>
      <c r="G112" s="11">
        <v>4</v>
      </c>
      <c r="H112" s="11">
        <v>3</v>
      </c>
      <c r="I112" s="11">
        <v>3</v>
      </c>
      <c r="J112" s="11">
        <v>3</v>
      </c>
      <c r="K112" s="11">
        <v>2</v>
      </c>
      <c r="L112" s="11">
        <v>2</v>
      </c>
      <c r="M112" s="11">
        <v>3</v>
      </c>
      <c r="N112" s="11">
        <v>2</v>
      </c>
      <c r="O112" s="11">
        <v>3</v>
      </c>
      <c r="P112" s="11">
        <v>2</v>
      </c>
      <c r="Q112" s="11">
        <v>3</v>
      </c>
      <c r="R112" s="11">
        <v>2</v>
      </c>
    </row>
    <row r="113" spans="1:18" ht="12.75">
      <c r="A113" s="3" t="s">
        <v>52</v>
      </c>
      <c r="B113" s="23">
        <f>B$115*(B$14/1000)</f>
        <v>89100</v>
      </c>
      <c r="C113" s="23">
        <f>SUM($D113:$R113)</f>
        <v>2747.7700000000004</v>
      </c>
      <c r="D113" s="23">
        <f>D$115*(D$14/1000)</f>
        <v>45.44</v>
      </c>
      <c r="E113" s="23">
        <f>E$115*(E$14/1000)</f>
        <v>208.44</v>
      </c>
      <c r="F113" s="23">
        <f>F$115*(F$14/1000)</f>
        <v>15.72</v>
      </c>
      <c r="G113" s="23">
        <f>G$115*(G$14/1000)</f>
        <v>1257.58</v>
      </c>
      <c r="H113" s="23">
        <f>H$115*(H$14/1000)</f>
        <v>62.160000000000004</v>
      </c>
      <c r="I113" s="23">
        <f>I$115*(I$14/1000)</f>
        <v>127.25999999999999</v>
      </c>
      <c r="J113" s="23">
        <f>J$115*(J$14/1000)</f>
        <v>101.66</v>
      </c>
      <c r="K113" s="23">
        <f>K$115*(K$14/1000)</f>
        <v>164.39</v>
      </c>
      <c r="L113" s="23">
        <f>L$115*(L$14/1000)</f>
        <v>193.93</v>
      </c>
      <c r="M113" s="23">
        <f>M$115*(M$14/1000)</f>
        <v>91.5</v>
      </c>
      <c r="N113" s="23">
        <f>N$115*(N$14/1000)</f>
        <v>47</v>
      </c>
      <c r="O113" s="23">
        <f>O$115*(O$14/1000)</f>
        <v>45.78</v>
      </c>
      <c r="P113" s="23">
        <f>P$115*(P$14/1000)</f>
        <v>29</v>
      </c>
      <c r="Q113" s="23">
        <f>Q$115*(Q$14/1000)</f>
        <v>313.72</v>
      </c>
      <c r="R113" s="23">
        <f>R$115*(R$14/1000)</f>
        <v>44.19</v>
      </c>
    </row>
    <row r="114" spans="1:18" ht="12.75" outlineLevel="1">
      <c r="A114" s="33" t="s">
        <v>23</v>
      </c>
      <c r="B114" s="34"/>
      <c r="C114" s="34"/>
      <c r="D114" s="33">
        <f>RANK(D$113,$D$113:$R$113,1)</f>
        <v>4</v>
      </c>
      <c r="E114" s="33">
        <f>RANK(E$113,$D$113:$R$113,1)</f>
        <v>13</v>
      </c>
      <c r="F114" s="33">
        <f>RANK(F$113,$D$113:$R$113,1)</f>
        <v>1</v>
      </c>
      <c r="G114" s="33">
        <f>RANK(G$113,$D$113:$R$113,1)</f>
        <v>15</v>
      </c>
      <c r="H114" s="33">
        <f>RANK(H$113,$D$113:$R$113,1)</f>
        <v>7</v>
      </c>
      <c r="I114" s="33">
        <f>RANK(I$113,$D$113:$R$113,1)</f>
        <v>10</v>
      </c>
      <c r="J114" s="33">
        <f>RANK(J$113,$D$113:$R$113,1)</f>
        <v>9</v>
      </c>
      <c r="K114" s="33">
        <f>RANK(K$113,$D$113:$R$113,1)</f>
        <v>11</v>
      </c>
      <c r="L114" s="33">
        <f>RANK(L$113,$D$113:$R$113,1)</f>
        <v>12</v>
      </c>
      <c r="M114" s="33">
        <f>RANK(M$113,$D$113:$R$113,1)</f>
        <v>8</v>
      </c>
      <c r="N114" s="33">
        <f>RANK(N$113,$D$113:$R$113,1)</f>
        <v>6</v>
      </c>
      <c r="O114" s="33">
        <f>RANK(O$113,$D$113:$R$113,1)</f>
        <v>5</v>
      </c>
      <c r="P114" s="33">
        <f>RANK(P$113,$D$113:$R$113,1)</f>
        <v>2</v>
      </c>
      <c r="Q114" s="33">
        <f>RANK(Q$113,$D$113:$R$113,1)</f>
        <v>14</v>
      </c>
      <c r="R114" s="33">
        <f>RANK(R$113,$D$113:$R$113,1)</f>
        <v>3</v>
      </c>
    </row>
    <row r="115" spans="1:18" ht="12.75">
      <c r="A115" s="3" t="s">
        <v>53</v>
      </c>
      <c r="B115" s="23">
        <v>54</v>
      </c>
      <c r="C115" s="23">
        <f>AVERAGE($D115:$R115)</f>
        <v>35.6</v>
      </c>
      <c r="D115" s="23">
        <v>16</v>
      </c>
      <c r="E115" s="23">
        <v>27</v>
      </c>
      <c r="F115" s="23">
        <v>6</v>
      </c>
      <c r="G115" s="23">
        <v>277</v>
      </c>
      <c r="H115" s="23">
        <v>14</v>
      </c>
      <c r="I115" s="23">
        <v>21</v>
      </c>
      <c r="J115" s="23">
        <v>26</v>
      </c>
      <c r="K115" s="23">
        <v>17</v>
      </c>
      <c r="L115" s="23">
        <v>41</v>
      </c>
      <c r="M115" s="23">
        <v>15</v>
      </c>
      <c r="N115" s="23">
        <v>10</v>
      </c>
      <c r="O115" s="23">
        <v>7</v>
      </c>
      <c r="P115" s="23">
        <v>2</v>
      </c>
      <c r="Q115" s="23">
        <v>46</v>
      </c>
      <c r="R115" s="23">
        <v>9</v>
      </c>
    </row>
    <row r="116" spans="1:18" ht="12.75" outlineLevel="1">
      <c r="A116" s="33" t="s">
        <v>23</v>
      </c>
      <c r="B116" s="34"/>
      <c r="C116" s="34"/>
      <c r="D116" s="33">
        <f>RANK(D$115,$D$115:$R$115,1)</f>
        <v>8</v>
      </c>
      <c r="E116" s="33">
        <f>RANK(E$115,$D$115:$R$115,1)</f>
        <v>12</v>
      </c>
      <c r="F116" s="33">
        <f>RANK(F$115,$D$115:$R$115,1)</f>
        <v>2</v>
      </c>
      <c r="G116" s="33">
        <f>RANK(G$115,$D$115:$R$115,1)</f>
        <v>15</v>
      </c>
      <c r="H116" s="33">
        <f>RANK(H$115,$D$115:$R$115,1)</f>
        <v>6</v>
      </c>
      <c r="I116" s="33">
        <f>RANK(I$115,$D$115:$R$115,1)</f>
        <v>10</v>
      </c>
      <c r="J116" s="33">
        <f>RANK(J$115,$D$115:$R$115,1)</f>
        <v>11</v>
      </c>
      <c r="K116" s="33">
        <f>RANK(K$115,$D$115:$R$115,1)</f>
        <v>9</v>
      </c>
      <c r="L116" s="33">
        <f>RANK(L$115,$D$115:$R$115,1)</f>
        <v>13</v>
      </c>
      <c r="M116" s="33">
        <f>RANK(M$115,$D$115:$R$115,1)</f>
        <v>7</v>
      </c>
      <c r="N116" s="33">
        <f>RANK(N$115,$D$115:$R$115,1)</f>
        <v>5</v>
      </c>
      <c r="O116" s="33">
        <f>RANK(O$115,$D$115:$R$115,1)</f>
        <v>3</v>
      </c>
      <c r="P116" s="33">
        <f>RANK(P$115,$D$115:$R$115,1)</f>
        <v>1</v>
      </c>
      <c r="Q116" s="33">
        <f>RANK(Q$115,$D$115:$R$115,1)</f>
        <v>14</v>
      </c>
      <c r="R116" s="33">
        <f>RANK(R$115,$D$115:$R$115,1)</f>
        <v>4</v>
      </c>
    </row>
    <row r="117" spans="1:18" ht="12.75" outlineLevel="1">
      <c r="A117" s="11" t="s">
        <v>32</v>
      </c>
      <c r="B117" s="34"/>
      <c r="C117" s="34"/>
      <c r="D117" s="33">
        <v>2</v>
      </c>
      <c r="E117" s="33">
        <v>2</v>
      </c>
      <c r="F117" s="33">
        <v>1</v>
      </c>
      <c r="G117" s="33">
        <v>4</v>
      </c>
      <c r="H117" s="33">
        <v>2</v>
      </c>
      <c r="I117" s="33">
        <v>2</v>
      </c>
      <c r="J117" s="33">
        <v>2</v>
      </c>
      <c r="K117" s="33">
        <v>2</v>
      </c>
      <c r="L117" s="33">
        <v>2</v>
      </c>
      <c r="M117" s="33">
        <v>2</v>
      </c>
      <c r="N117" s="33">
        <v>1</v>
      </c>
      <c r="O117" s="33">
        <v>1</v>
      </c>
      <c r="P117" s="33">
        <v>1</v>
      </c>
      <c r="Q117" s="33">
        <v>2</v>
      </c>
      <c r="R117" s="33">
        <v>1</v>
      </c>
    </row>
    <row r="118" spans="1:18" ht="12.75">
      <c r="A118" s="3" t="s">
        <v>54</v>
      </c>
      <c r="B118" s="35">
        <f>B$113/B$4</f>
        <v>0.26568463740458015</v>
      </c>
      <c r="C118" s="32">
        <f>AVERAGE($D118:$R118)</f>
        <v>0.1540333287937056</v>
      </c>
      <c r="D118" s="35">
        <f>D$113/D$4</f>
        <v>0.12678571428571428</v>
      </c>
      <c r="E118" s="35">
        <f>E$113/E$4</f>
        <v>0.1829705056179775</v>
      </c>
      <c r="F118" s="35">
        <f>F$113/F$4</f>
        <v>0.03319256756756757</v>
      </c>
      <c r="G118" s="35">
        <f>G$113/G$4</f>
        <v>0.6485045379537954</v>
      </c>
      <c r="H118" s="35">
        <f>H$113/H$4</f>
        <v>0.15922131147540985</v>
      </c>
      <c r="I118" s="35">
        <f>I$113/I$4</f>
        <v>0.11906811377245509</v>
      </c>
      <c r="J118" s="35">
        <f>J$113/J$4</f>
        <v>0.17265624999999998</v>
      </c>
      <c r="K118" s="35">
        <f>K$113/K$4</f>
        <v>0.0999452821011673</v>
      </c>
      <c r="L118" s="35">
        <f>L$113/L$4</f>
        <v>0.13649352477477475</v>
      </c>
      <c r="M118" s="35">
        <f>M$113/M$4</f>
        <v>0.13361565420560748</v>
      </c>
      <c r="N118" s="35">
        <f>N$113/N$4</f>
        <v>0.06069214876033058</v>
      </c>
      <c r="O118" s="35">
        <f>O$113/O$4</f>
        <v>0.06011029411764707</v>
      </c>
      <c r="P118" s="35">
        <f>P$113/P$4</f>
        <v>0.025745738636363633</v>
      </c>
      <c r="Q118" s="35">
        <f>Q$113/Q$4</f>
        <v>0.300728527607362</v>
      </c>
      <c r="R118" s="35">
        <f>R$113/R$4</f>
        <v>0.05076976102941177</v>
      </c>
    </row>
    <row r="119" spans="1:18" ht="12.75" outlineLevel="1">
      <c r="A119" s="33" t="s">
        <v>27</v>
      </c>
      <c r="B119" s="34"/>
      <c r="C119" s="34"/>
      <c r="D119" s="33">
        <f>RANK(D$118,$D$118:$R$118,1)</f>
        <v>8</v>
      </c>
      <c r="E119" s="33">
        <f>RANK(E$118,$D$118:$R$118,1)</f>
        <v>13</v>
      </c>
      <c r="F119" s="33">
        <f>RANK(F$118,$D$118:$R$118,1)</f>
        <v>2</v>
      </c>
      <c r="G119" s="33">
        <f>RANK(G$118,$D$118:$R$118,1)</f>
        <v>15</v>
      </c>
      <c r="H119" s="33">
        <f>RANK(H$118,$D$118:$R$118,1)</f>
        <v>11</v>
      </c>
      <c r="I119" s="33">
        <f>RANK(I$118,$D$118:$R$118,1)</f>
        <v>7</v>
      </c>
      <c r="J119" s="33">
        <f>RANK(J$118,$D$118:$R$118,1)</f>
        <v>12</v>
      </c>
      <c r="K119" s="33">
        <f>RANK(K$118,$D$118:$R$118,1)</f>
        <v>6</v>
      </c>
      <c r="L119" s="33">
        <f>RANK(L$118,$D$118:$R$118,1)</f>
        <v>10</v>
      </c>
      <c r="M119" s="33">
        <f>RANK(M$118,$D$118:$R$118,1)</f>
        <v>9</v>
      </c>
      <c r="N119" s="33">
        <f>RANK(N$118,$D$118:$R$118,1)</f>
        <v>5</v>
      </c>
      <c r="O119" s="33">
        <f>RANK(O$118,$D$118:$R$118,1)</f>
        <v>4</v>
      </c>
      <c r="P119" s="33">
        <f>RANK(P$118,$D$118:$R$118,1)</f>
        <v>1</v>
      </c>
      <c r="Q119" s="33">
        <f>RANK(Q$118,$D$118:$R$118,1)</f>
        <v>14</v>
      </c>
      <c r="R119" s="33">
        <f>RANK(R$118,$D$118:$R$118,1)</f>
        <v>3</v>
      </c>
    </row>
  </sheetData>
  <printOptions/>
  <pageMargins left="0.25" right="0.25" top="0.5152777777777777" bottom="0.5152777777777777" header="0.25" footer="0.2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Data!$A$92</f>
        <v>People within ¼ mi. of park</v>
      </c>
      <c r="B2" s="37">
        <f>Data!D$93</f>
        <v>3</v>
      </c>
      <c r="C2" s="37">
        <f>Data!E$93</f>
        <v>9</v>
      </c>
      <c r="D2" s="37">
        <f>Data!F$93</f>
        <v>1</v>
      </c>
      <c r="E2" s="37">
        <f>Data!G$93</f>
        <v>10</v>
      </c>
      <c r="F2" s="37">
        <f>Data!H$93</f>
        <v>11</v>
      </c>
      <c r="G2" s="37">
        <f>Data!I$93</f>
        <v>7</v>
      </c>
      <c r="H2" s="37">
        <f>Data!J$93</f>
        <v>4</v>
      </c>
      <c r="I2" s="37">
        <f>Data!K$93</f>
        <v>13</v>
      </c>
      <c r="J2" s="37">
        <f>Data!L$93</f>
        <v>5</v>
      </c>
      <c r="K2" s="37">
        <f>Data!M$93</f>
        <v>8</v>
      </c>
      <c r="L2" s="37">
        <f>Data!N$93</f>
        <v>6</v>
      </c>
      <c r="M2" s="37">
        <f>Data!O$93</f>
        <v>12</v>
      </c>
      <c r="N2" s="37">
        <f>Data!P$93</f>
        <v>15</v>
      </c>
      <c r="O2" s="37">
        <f>Data!Q$93</f>
        <v>14</v>
      </c>
      <c r="P2" s="37">
        <f>Data!R$93</f>
        <v>2</v>
      </c>
    </row>
    <row r="3" spans="1:16" ht="12.75">
      <c r="A3" s="37" t="str">
        <f>Data!$A$94</f>
        <v>%'age pop. within ¼ mi. of park</v>
      </c>
      <c r="B3" s="37">
        <f>Data!D$95</f>
        <v>12</v>
      </c>
      <c r="C3" s="37">
        <f>Data!E$95</f>
        <v>7</v>
      </c>
      <c r="D3" s="37">
        <f>Data!F$95</f>
        <v>1</v>
      </c>
      <c r="E3" s="37">
        <f>Data!G$95</f>
        <v>14</v>
      </c>
      <c r="F3" s="37">
        <f>Data!H$95</f>
        <v>15</v>
      </c>
      <c r="G3" s="37">
        <f>Data!I$95</f>
        <v>4</v>
      </c>
      <c r="H3" s="37">
        <f>Data!J$95</f>
        <v>9</v>
      </c>
      <c r="I3" s="37">
        <f>Data!K$95</f>
        <v>6</v>
      </c>
      <c r="J3" s="37">
        <f>Data!L$95</f>
        <v>5</v>
      </c>
      <c r="K3" s="37">
        <f>Data!M$95</f>
        <v>10</v>
      </c>
      <c r="L3" s="37">
        <f>Data!N$95</f>
        <v>8</v>
      </c>
      <c r="M3" s="37">
        <f>Data!O$95</f>
        <v>11</v>
      </c>
      <c r="N3" s="37">
        <f>Data!P$95</f>
        <v>3</v>
      </c>
      <c r="O3" s="37">
        <f>Data!Q$95</f>
        <v>13</v>
      </c>
      <c r="P3" s="37">
        <f>Data!R$95</f>
        <v>2</v>
      </c>
    </row>
    <row r="4" spans="1:16" ht="12.75">
      <c r="A4" s="37" t="str">
        <f>Data!$A$97</f>
        <v>Avg. dist. to park in blocks (280')</v>
      </c>
      <c r="B4" s="37">
        <f>Data!D$98</f>
        <v>11</v>
      </c>
      <c r="C4" s="37">
        <f>Data!E$98</f>
        <v>7</v>
      </c>
      <c r="D4" s="37">
        <f>Data!F$98</f>
        <v>3</v>
      </c>
      <c r="E4" s="37">
        <f>Data!G$98</f>
        <v>13</v>
      </c>
      <c r="F4" s="37">
        <f>Data!H$98</f>
        <v>15</v>
      </c>
      <c r="G4" s="37">
        <f>Data!I$98</f>
        <v>3</v>
      </c>
      <c r="H4" s="37">
        <f>Data!J$98</f>
        <v>7</v>
      </c>
      <c r="I4" s="37">
        <f>Data!K$98</f>
        <v>3</v>
      </c>
      <c r="J4" s="37">
        <f>Data!L$98</f>
        <v>2</v>
      </c>
      <c r="K4" s="37">
        <f>Data!M$98</f>
        <v>7</v>
      </c>
      <c r="L4" s="37">
        <f>Data!N$98</f>
        <v>7</v>
      </c>
      <c r="M4" s="37">
        <f>Data!O$98</f>
        <v>11</v>
      </c>
      <c r="N4" s="37">
        <f>Data!P$98</f>
        <v>3</v>
      </c>
      <c r="O4" s="37">
        <f>Data!Q$98</f>
        <v>13</v>
      </c>
      <c r="P4" s="37">
        <f>Data!R$98</f>
        <v>1</v>
      </c>
    </row>
    <row r="5" spans="1:16" ht="12.75">
      <c r="A5" s="37" t="str">
        <f>Data!$A$99</f>
        <v>Parks in total acres</v>
      </c>
      <c r="B5" s="37">
        <f>Data!D$100</f>
        <v>12</v>
      </c>
      <c r="C5" s="37">
        <f>Data!E$100</f>
        <v>11</v>
      </c>
      <c r="D5" s="37">
        <f>Data!F$100</f>
        <v>8</v>
      </c>
      <c r="E5" s="37">
        <f>Data!G$100</f>
        <v>14</v>
      </c>
      <c r="F5" s="37">
        <f>Data!H$100</f>
        <v>13</v>
      </c>
      <c r="G5" s="37">
        <f>Data!I$100</f>
        <v>5</v>
      </c>
      <c r="H5" s="37">
        <f>Data!J$100</f>
        <v>6</v>
      </c>
      <c r="I5" s="37">
        <f>Data!K$100</f>
        <v>7</v>
      </c>
      <c r="J5" s="37">
        <f>Data!L$100</f>
        <v>2</v>
      </c>
      <c r="K5" s="37">
        <f>Data!M$100</f>
        <v>9</v>
      </c>
      <c r="L5" s="37">
        <f>Data!N$100</f>
        <v>3</v>
      </c>
      <c r="M5" s="37">
        <f>Data!O$100</f>
        <v>10</v>
      </c>
      <c r="N5" s="37">
        <f>Data!P$100</f>
        <v>1</v>
      </c>
      <c r="O5" s="37">
        <f>Data!Q$100</f>
        <v>15</v>
      </c>
      <c r="P5" s="37">
        <f>Data!R$100</f>
        <v>4</v>
      </c>
    </row>
    <row r="6" spans="1:16" ht="12.75">
      <c r="A6" s="37" t="str">
        <f>Data!$A$101</f>
        <v>Park acres per 1,000 pop.</v>
      </c>
      <c r="B6" s="37">
        <f>Data!D$102</f>
        <v>12</v>
      </c>
      <c r="C6" s="37">
        <f>Data!E$102</f>
        <v>10</v>
      </c>
      <c r="D6" s="37">
        <f>Data!F$102</f>
        <v>11</v>
      </c>
      <c r="E6" s="37">
        <f>Data!G$102</f>
        <v>15</v>
      </c>
      <c r="F6" s="37">
        <f>Data!H$102</f>
        <v>12</v>
      </c>
      <c r="G6" s="37">
        <f>Data!I$102</f>
        <v>6</v>
      </c>
      <c r="H6" s="37">
        <f>Data!J$102</f>
        <v>7</v>
      </c>
      <c r="I6" s="37">
        <f>Data!K$102</f>
        <v>3</v>
      </c>
      <c r="J6" s="37">
        <f>Data!L$102</f>
        <v>2</v>
      </c>
      <c r="K6" s="37">
        <f>Data!M$102</f>
        <v>7</v>
      </c>
      <c r="L6" s="37">
        <f>Data!N$102</f>
        <v>4</v>
      </c>
      <c r="M6" s="37">
        <f>Data!O$102</f>
        <v>9</v>
      </c>
      <c r="N6" s="37">
        <f>Data!P$102</f>
        <v>1</v>
      </c>
      <c r="O6" s="37">
        <f>Data!Q$102</f>
        <v>14</v>
      </c>
      <c r="P6" s="37">
        <f>Data!R$102</f>
        <v>4</v>
      </c>
    </row>
    <row r="7" spans="1:16" ht="12.75">
      <c r="A7" s="37" t="str">
        <f>Data!$A$104</f>
        <v>%'age area set aside as parks</v>
      </c>
      <c r="B7" s="37">
        <f>Data!D$105</f>
        <v>13</v>
      </c>
      <c r="C7" s="37">
        <f>Data!E$105</f>
        <v>8</v>
      </c>
      <c r="D7" s="37">
        <f>Data!F$105</f>
        <v>11</v>
      </c>
      <c r="E7" s="37">
        <f>Data!G$105</f>
        <v>12</v>
      </c>
      <c r="F7" s="37">
        <f>Data!H$105</f>
        <v>15</v>
      </c>
      <c r="G7" s="37">
        <f>Data!I$105</f>
        <v>6</v>
      </c>
      <c r="H7" s="37">
        <f>Data!J$105</f>
        <v>7</v>
      </c>
      <c r="I7" s="37">
        <f>Data!K$105</f>
        <v>3</v>
      </c>
      <c r="J7" s="37">
        <f>Data!L$105</f>
        <v>1</v>
      </c>
      <c r="K7" s="37">
        <f>Data!M$105</f>
        <v>9</v>
      </c>
      <c r="L7" s="37">
        <f>Data!N$105</f>
        <v>5</v>
      </c>
      <c r="M7" s="37">
        <f>Data!O$105</f>
        <v>10</v>
      </c>
      <c r="N7" s="37">
        <f>Data!P$105</f>
        <v>2</v>
      </c>
      <c r="O7" s="37">
        <f>Data!Q$105</f>
        <v>14</v>
      </c>
      <c r="P7" s="37">
        <f>Data!R$105</f>
        <v>4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Data!$A$108</f>
        <v>People within ¼ mi. of habitat</v>
      </c>
      <c r="B2" s="37">
        <f>Data!D$109</f>
        <v>5</v>
      </c>
      <c r="C2" s="37">
        <f>Data!E$109</f>
        <v>10</v>
      </c>
      <c r="D2" s="37">
        <f>Data!F$109</f>
        <v>1</v>
      </c>
      <c r="E2" s="37">
        <f>Data!G$109</f>
        <v>11</v>
      </c>
      <c r="F2" s="37">
        <f>Data!H$109</f>
        <v>6</v>
      </c>
      <c r="G2" s="37">
        <f>Data!I$109</f>
        <v>14</v>
      </c>
      <c r="H2" s="37">
        <f>Data!J$109</f>
        <v>9</v>
      </c>
      <c r="I2" s="37">
        <f>Data!K$109</f>
        <v>8</v>
      </c>
      <c r="J2" s="37">
        <f>Data!L$109</f>
        <v>2</v>
      </c>
      <c r="K2" s="37">
        <f>Data!M$109</f>
        <v>12</v>
      </c>
      <c r="L2" s="37">
        <f>Data!N$109</f>
        <v>3</v>
      </c>
      <c r="M2" s="37">
        <f>Data!O$109</f>
        <v>13</v>
      </c>
      <c r="N2" s="37">
        <f>Data!P$109</f>
        <v>7</v>
      </c>
      <c r="O2" s="37">
        <f>Data!Q$109</f>
        <v>15</v>
      </c>
      <c r="P2" s="37">
        <f>Data!R$109</f>
        <v>4</v>
      </c>
    </row>
    <row r="3" spans="1:16" ht="12.75">
      <c r="A3" s="37" t="str">
        <f>Data!$A$110</f>
        <v>%'age pop. within ¼ mi. of habitat</v>
      </c>
      <c r="B3" s="37">
        <f>Data!D$111</f>
        <v>11</v>
      </c>
      <c r="C3" s="37">
        <f>Data!E$111</f>
        <v>7</v>
      </c>
      <c r="D3" s="37">
        <f>Data!F$111</f>
        <v>1</v>
      </c>
      <c r="E3" s="37">
        <f>Data!G$111</f>
        <v>15</v>
      </c>
      <c r="F3" s="37">
        <f>Data!H$111</f>
        <v>8</v>
      </c>
      <c r="G3" s="37">
        <f>Data!I$111</f>
        <v>13</v>
      </c>
      <c r="H3" s="37">
        <f>Data!J$111</f>
        <v>14</v>
      </c>
      <c r="I3" s="37">
        <f>Data!K$111</f>
        <v>4</v>
      </c>
      <c r="J3" s="37">
        <f>Data!L$111</f>
        <v>3</v>
      </c>
      <c r="K3" s="37">
        <f>Data!M$111</f>
        <v>9</v>
      </c>
      <c r="L3" s="37">
        <f>Data!N$111</f>
        <v>5</v>
      </c>
      <c r="M3" s="37">
        <f>Data!O$111</f>
        <v>10</v>
      </c>
      <c r="N3" s="37">
        <f>Data!P$111</f>
        <v>2</v>
      </c>
      <c r="O3" s="37">
        <f>Data!Q$111</f>
        <v>12</v>
      </c>
      <c r="P3" s="37">
        <f>Data!R$111</f>
        <v>5</v>
      </c>
    </row>
    <row r="4" spans="1:16" ht="12.75">
      <c r="A4" s="37" t="str">
        <f>Data!$A$113</f>
        <v>Habitat in total acres</v>
      </c>
      <c r="B4" s="37">
        <f>Data!D$114</f>
        <v>4</v>
      </c>
      <c r="C4" s="37">
        <f>Data!E$114</f>
        <v>13</v>
      </c>
      <c r="D4" s="37">
        <f>Data!F$114</f>
        <v>1</v>
      </c>
      <c r="E4" s="37">
        <f>Data!G$114</f>
        <v>15</v>
      </c>
      <c r="F4" s="37">
        <f>Data!H$114</f>
        <v>7</v>
      </c>
      <c r="G4" s="37">
        <f>Data!I$114</f>
        <v>10</v>
      </c>
      <c r="H4" s="37">
        <f>Data!J$114</f>
        <v>9</v>
      </c>
      <c r="I4" s="37">
        <f>Data!K$114</f>
        <v>11</v>
      </c>
      <c r="J4" s="37">
        <f>Data!L$114</f>
        <v>12</v>
      </c>
      <c r="K4" s="37">
        <f>Data!M$114</f>
        <v>8</v>
      </c>
      <c r="L4" s="37">
        <f>Data!N$114</f>
        <v>6</v>
      </c>
      <c r="M4" s="37">
        <f>Data!O$114</f>
        <v>5</v>
      </c>
      <c r="N4" s="37">
        <f>Data!P$114</f>
        <v>2</v>
      </c>
      <c r="O4" s="37">
        <f>Data!Q$114</f>
        <v>14</v>
      </c>
      <c r="P4" s="37">
        <f>Data!R$114</f>
        <v>3</v>
      </c>
    </row>
    <row r="5" spans="1:16" ht="12.75">
      <c r="A5" s="37" t="str">
        <f>Data!$A$115</f>
        <v>Habitat acres per 1,000 pop.</v>
      </c>
      <c r="B5" s="37">
        <f>Data!D$116</f>
        <v>8</v>
      </c>
      <c r="C5" s="37">
        <f>Data!E$116</f>
        <v>12</v>
      </c>
      <c r="D5" s="37">
        <f>Data!F$116</f>
        <v>2</v>
      </c>
      <c r="E5" s="37">
        <f>Data!G$116</f>
        <v>15</v>
      </c>
      <c r="F5" s="37">
        <f>Data!H$116</f>
        <v>6</v>
      </c>
      <c r="G5" s="37">
        <f>Data!I$116</f>
        <v>10</v>
      </c>
      <c r="H5" s="37">
        <f>Data!J$116</f>
        <v>11</v>
      </c>
      <c r="I5" s="37">
        <f>Data!K$116</f>
        <v>9</v>
      </c>
      <c r="J5" s="37">
        <f>Data!L$116</f>
        <v>13</v>
      </c>
      <c r="K5" s="37">
        <f>Data!M$116</f>
        <v>7</v>
      </c>
      <c r="L5" s="37">
        <f>Data!N$116</f>
        <v>5</v>
      </c>
      <c r="M5" s="37">
        <f>Data!O$116</f>
        <v>3</v>
      </c>
      <c r="N5" s="37">
        <f>Data!P$116</f>
        <v>1</v>
      </c>
      <c r="O5" s="37">
        <f>Data!Q$116</f>
        <v>14</v>
      </c>
      <c r="P5" s="37">
        <f>Data!R$116</f>
        <v>4</v>
      </c>
    </row>
    <row r="6" spans="1:16" ht="12.75">
      <c r="A6" s="37" t="str">
        <f>Data!$A$118</f>
        <v>%'age area set aside as habitat</v>
      </c>
      <c r="B6" s="37">
        <f>Data!D$119</f>
        <v>8</v>
      </c>
      <c r="C6" s="37">
        <f>Data!E$119</f>
        <v>13</v>
      </c>
      <c r="D6" s="37">
        <f>Data!F$119</f>
        <v>2</v>
      </c>
      <c r="E6" s="37">
        <f>Data!G$119</f>
        <v>15</v>
      </c>
      <c r="F6" s="37">
        <f>Data!H$119</f>
        <v>11</v>
      </c>
      <c r="G6" s="37">
        <f>Data!I$119</f>
        <v>7</v>
      </c>
      <c r="H6" s="37">
        <f>Data!J$119</f>
        <v>12</v>
      </c>
      <c r="I6" s="37">
        <f>Data!K$119</f>
        <v>6</v>
      </c>
      <c r="J6" s="37">
        <f>Data!L$119</f>
        <v>10</v>
      </c>
      <c r="K6" s="37">
        <f>Data!M$119</f>
        <v>9</v>
      </c>
      <c r="L6" s="37">
        <f>Data!N$119</f>
        <v>5</v>
      </c>
      <c r="M6" s="37">
        <f>Data!O$119</f>
        <v>4</v>
      </c>
      <c r="N6" s="37">
        <f>Data!P$119</f>
        <v>1</v>
      </c>
      <c r="O6" s="37">
        <f>Data!Q$119</f>
        <v>14</v>
      </c>
      <c r="P6" s="37">
        <f>Data!R$119</f>
        <v>3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Data!$A$8</f>
        <v>Households (2000)</v>
      </c>
      <c r="B2" s="37">
        <f>Data!D$9</f>
        <v>2</v>
      </c>
      <c r="C2" s="37">
        <f>Data!E$9</f>
        <v>13</v>
      </c>
      <c r="D2" s="37">
        <f>Data!F$9</f>
        <v>1</v>
      </c>
      <c r="E2" s="37">
        <f>Data!G$9</f>
        <v>3</v>
      </c>
      <c r="F2" s="37">
        <f>Data!H$9</f>
        <v>5</v>
      </c>
      <c r="G2" s="37">
        <f>Data!I$9</f>
        <v>9</v>
      </c>
      <c r="H2" s="37">
        <f>Data!J$9</f>
        <v>4</v>
      </c>
      <c r="I2" s="37">
        <f>Data!K$9</f>
        <v>14</v>
      </c>
      <c r="J2" s="37">
        <f>Data!L$9</f>
        <v>7</v>
      </c>
      <c r="K2" s="37">
        <f>Data!M$9</f>
        <v>12</v>
      </c>
      <c r="L2" s="37">
        <f>Data!N$9</f>
        <v>6</v>
      </c>
      <c r="M2" s="37">
        <f>Data!O$9</f>
        <v>11</v>
      </c>
      <c r="N2" s="37">
        <f>Data!P$9</f>
        <v>15</v>
      </c>
      <c r="O2" s="37">
        <f>Data!Q$9</f>
        <v>10</v>
      </c>
      <c r="P2" s="37">
        <f>Data!R$9</f>
        <v>7</v>
      </c>
    </row>
    <row r="3" spans="1:16" ht="12.75">
      <c r="A3" s="37" t="str">
        <f>Data!$A$10</f>
        <v>Households per acre</v>
      </c>
      <c r="B3" s="37">
        <f>Data!D$11</f>
        <v>11</v>
      </c>
      <c r="C3" s="37">
        <f>Data!E$11</f>
        <v>9</v>
      </c>
      <c r="D3" s="37">
        <f>Data!F$11</f>
        <v>4</v>
      </c>
      <c r="E3" s="37">
        <f>Data!G$11</f>
        <v>1</v>
      </c>
      <c r="F3" s="37">
        <f>Data!H$11</f>
        <v>15</v>
      </c>
      <c r="G3" s="37">
        <f>Data!I$11</f>
        <v>3</v>
      </c>
      <c r="H3" s="37">
        <f>Data!J$11</f>
        <v>10</v>
      </c>
      <c r="I3" s="37">
        <f>Data!K$11</f>
        <v>6</v>
      </c>
      <c r="J3" s="37">
        <f>Data!L$11</f>
        <v>2</v>
      </c>
      <c r="K3" s="37">
        <f>Data!M$11</f>
        <v>13</v>
      </c>
      <c r="L3" s="37">
        <f>Data!N$11</f>
        <v>8</v>
      </c>
      <c r="M3" s="37">
        <f>Data!O$11</f>
        <v>12</v>
      </c>
      <c r="N3" s="37">
        <f>Data!P$11</f>
        <v>14</v>
      </c>
      <c r="O3" s="37">
        <f>Data!Q$11</f>
        <v>7</v>
      </c>
      <c r="P3" s="37">
        <f>Data!R$11</f>
        <v>5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Data!$A$14</f>
        <v>Population (2000)</v>
      </c>
      <c r="B2" s="37">
        <f>Data!D$15</f>
        <v>2</v>
      </c>
      <c r="C2" s="37">
        <f>Data!E$15</f>
        <v>13</v>
      </c>
      <c r="D2" s="37">
        <f>Data!F$15</f>
        <v>1</v>
      </c>
      <c r="E2" s="37">
        <f>Data!G$15</f>
        <v>5</v>
      </c>
      <c r="F2" s="37">
        <f>Data!H$15</f>
        <v>4</v>
      </c>
      <c r="G2" s="37">
        <f>Data!I$15</f>
        <v>9</v>
      </c>
      <c r="H2" s="37">
        <f>Data!J$15</f>
        <v>3</v>
      </c>
      <c r="I2" s="37">
        <f>Data!K$15</f>
        <v>14</v>
      </c>
      <c r="J2" s="37">
        <f>Data!L$15</f>
        <v>7</v>
      </c>
      <c r="K2" s="37">
        <f>Data!M$15</f>
        <v>10</v>
      </c>
      <c r="L2" s="37">
        <f>Data!N$15</f>
        <v>6</v>
      </c>
      <c r="M2" s="37">
        <f>Data!O$15</f>
        <v>11</v>
      </c>
      <c r="N2" s="37">
        <f>Data!P$15</f>
        <v>15</v>
      </c>
      <c r="O2" s="37">
        <f>Data!Q$15</f>
        <v>12</v>
      </c>
      <c r="P2" s="37">
        <f>Data!R$15</f>
        <v>8</v>
      </c>
    </row>
    <row r="3" spans="1:16" ht="12.75">
      <c r="A3" s="37" t="str">
        <f>Data!$A$16</f>
        <v>People per acre</v>
      </c>
      <c r="B3" s="37">
        <f>Data!D$17</f>
        <v>11</v>
      </c>
      <c r="C3" s="37">
        <f>Data!E$17</f>
        <v>10</v>
      </c>
      <c r="D3" s="37">
        <f>Data!F$17</f>
        <v>3</v>
      </c>
      <c r="E3" s="37">
        <f>Data!G$17</f>
        <v>1</v>
      </c>
      <c r="F3" s="37">
        <f>Data!H$17</f>
        <v>14</v>
      </c>
      <c r="G3" s="37">
        <f>Data!I$17</f>
        <v>5</v>
      </c>
      <c r="H3" s="37">
        <f>Data!J$17</f>
        <v>9</v>
      </c>
      <c r="I3" s="37">
        <f>Data!K$17</f>
        <v>6</v>
      </c>
      <c r="J3" s="37">
        <f>Data!L$17</f>
        <v>2</v>
      </c>
      <c r="K3" s="37">
        <f>Data!M$17</f>
        <v>13</v>
      </c>
      <c r="L3" s="37">
        <f>Data!N$17</f>
        <v>7</v>
      </c>
      <c r="M3" s="37">
        <f>Data!O$17</f>
        <v>12</v>
      </c>
      <c r="N3" s="37">
        <f>Data!P$17</f>
        <v>15</v>
      </c>
      <c r="O3" s="37">
        <f>Data!Q$17</f>
        <v>8</v>
      </c>
      <c r="P3" s="37">
        <f>Data!R$17</f>
        <v>4</v>
      </c>
    </row>
    <row r="4" spans="1:16" ht="12.75">
      <c r="A4" s="37" t="str">
        <f>Data!$A$18</f>
        <v>People per household</v>
      </c>
      <c r="B4" s="37">
        <f>Data!D$19</f>
        <v>8</v>
      </c>
      <c r="C4" s="37">
        <f>Data!E$19</f>
        <v>10</v>
      </c>
      <c r="D4" s="37">
        <f>Data!F$19</f>
        <v>9</v>
      </c>
      <c r="E4" s="37">
        <f>Data!G$19</f>
        <v>13</v>
      </c>
      <c r="F4" s="37">
        <f>Data!H$19</f>
        <v>2</v>
      </c>
      <c r="G4" s="37">
        <f>Data!I$19</f>
        <v>14</v>
      </c>
      <c r="H4" s="37">
        <f>Data!J$19</f>
        <v>1</v>
      </c>
      <c r="I4" s="37">
        <f>Data!K$19</f>
        <v>7</v>
      </c>
      <c r="J4" s="37">
        <f>Data!L$19</f>
        <v>4</v>
      </c>
      <c r="K4" s="37">
        <f>Data!M$19</f>
        <v>3</v>
      </c>
      <c r="L4" s="37">
        <f>Data!N$19</f>
        <v>5</v>
      </c>
      <c r="M4" s="37">
        <f>Data!O$19</f>
        <v>11</v>
      </c>
      <c r="N4" s="37">
        <f>Data!P$19</f>
        <v>15</v>
      </c>
      <c r="O4" s="37">
        <f>Data!Q$19</f>
        <v>12</v>
      </c>
      <c r="P4" s="37">
        <f>Data!R$19</f>
        <v>6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Data!$A$22</f>
        <v>People in poverty (2000)</v>
      </c>
      <c r="B2" s="37">
        <f>Data!D$23</f>
        <v>5</v>
      </c>
      <c r="C2" s="37">
        <f>Data!E$23</f>
        <v>13</v>
      </c>
      <c r="D2" s="37">
        <f>Data!F$23</f>
        <v>8</v>
      </c>
      <c r="E2" s="37">
        <f>Data!G$23</f>
        <v>2</v>
      </c>
      <c r="F2" s="37">
        <f>Data!H$23</f>
        <v>6</v>
      </c>
      <c r="G2" s="37">
        <f>Data!I$23</f>
        <v>4</v>
      </c>
      <c r="H2" s="37">
        <f>Data!J$23</f>
        <v>3</v>
      </c>
      <c r="I2" s="37">
        <f>Data!K$23</f>
        <v>14</v>
      </c>
      <c r="J2" s="37">
        <f>Data!L$23</f>
        <v>9</v>
      </c>
      <c r="K2" s="37">
        <f>Data!M$23</f>
        <v>12</v>
      </c>
      <c r="L2" s="37">
        <f>Data!N$23</f>
        <v>7</v>
      </c>
      <c r="M2" s="37">
        <f>Data!O$23</f>
        <v>10</v>
      </c>
      <c r="N2" s="37">
        <f>Data!P$23</f>
        <v>15</v>
      </c>
      <c r="O2" s="37">
        <f>Data!Q$23</f>
        <v>1</v>
      </c>
      <c r="P2" s="37">
        <f>Data!R$23</f>
        <v>11</v>
      </c>
    </row>
    <row r="3" spans="1:16" ht="12.75">
      <c r="A3" s="37" t="str">
        <f>Data!$A$24</f>
        <v>%'age of pop. in poverty</v>
      </c>
      <c r="B3" s="37">
        <f>Data!D$25</f>
        <v>12</v>
      </c>
      <c r="C3" s="37">
        <f>Data!E$25</f>
        <v>11</v>
      </c>
      <c r="D3" s="37">
        <f>Data!F$25</f>
        <v>14</v>
      </c>
      <c r="E3" s="37">
        <f>Data!G$25</f>
        <v>3</v>
      </c>
      <c r="F3" s="37">
        <f>Data!H$25</f>
        <v>7</v>
      </c>
      <c r="G3" s="37">
        <f>Data!I$25</f>
        <v>2</v>
      </c>
      <c r="H3" s="37">
        <f>Data!J$25</f>
        <v>4</v>
      </c>
      <c r="I3" s="37">
        <f>Data!K$25</f>
        <v>10</v>
      </c>
      <c r="J3" s="37">
        <f>Data!L$25</f>
        <v>9</v>
      </c>
      <c r="K3" s="37">
        <f>Data!M$25</f>
        <v>8</v>
      </c>
      <c r="L3" s="37">
        <f>Data!N$25</f>
        <v>5</v>
      </c>
      <c r="M3" s="37">
        <f>Data!O$25</f>
        <v>6</v>
      </c>
      <c r="N3" s="37">
        <f>Data!P$25</f>
        <v>15</v>
      </c>
      <c r="O3" s="37">
        <f>Data!Q$25</f>
        <v>1</v>
      </c>
      <c r="P3" s="37">
        <f>Data!R$25</f>
        <v>13</v>
      </c>
    </row>
    <row r="4" spans="1:16" ht="12.75">
      <c r="A4" s="37" t="str">
        <f>Data!$A$27</f>
        <v>%'age of poor under 18</v>
      </c>
      <c r="B4" s="37">
        <f>Data!D$28</f>
        <v>10</v>
      </c>
      <c r="C4" s="37">
        <f>Data!E$28</f>
        <v>9</v>
      </c>
      <c r="D4" s="37">
        <f>Data!F$28</f>
        <v>14</v>
      </c>
      <c r="E4" s="37">
        <f>Data!G$28</f>
        <v>3</v>
      </c>
      <c r="F4" s="37">
        <f>Data!H$28</f>
        <v>5</v>
      </c>
      <c r="G4" s="37">
        <f>Data!I$28</f>
        <v>2</v>
      </c>
      <c r="H4" s="37">
        <f>Data!J$28</f>
        <v>4</v>
      </c>
      <c r="I4" s="37">
        <f>Data!K$28</f>
        <v>11</v>
      </c>
      <c r="J4" s="37">
        <f>Data!L$28</f>
        <v>13</v>
      </c>
      <c r="K4" s="37">
        <f>Data!M$28</f>
        <v>8</v>
      </c>
      <c r="L4" s="37">
        <f>Data!N$28</f>
        <v>7</v>
      </c>
      <c r="M4" s="37">
        <f>Data!O$28</f>
        <v>6</v>
      </c>
      <c r="N4" s="37">
        <f>Data!P$28</f>
        <v>15</v>
      </c>
      <c r="O4" s="37">
        <f>Data!Q$28</f>
        <v>1</v>
      </c>
      <c r="P4" s="37">
        <f>Data!R$28</f>
        <v>12</v>
      </c>
    </row>
    <row r="5" spans="1:16" ht="12.75">
      <c r="A5" s="37" t="str">
        <f>Data!$A$30</f>
        <v>%'age of households w/o vehicle</v>
      </c>
      <c r="B5" s="37">
        <f>Data!D$31</f>
        <v>4</v>
      </c>
      <c r="C5" s="37">
        <f>Data!E$31</f>
        <v>13</v>
      </c>
      <c r="D5" s="37">
        <f>Data!F$31</f>
        <v>12</v>
      </c>
      <c r="E5" s="37">
        <f>Data!G$31</f>
        <v>3</v>
      </c>
      <c r="F5" s="37">
        <f>Data!H$31</f>
        <v>10</v>
      </c>
      <c r="G5" s="37">
        <f>Data!I$31</f>
        <v>2</v>
      </c>
      <c r="H5" s="37">
        <f>Data!J$31</f>
        <v>6</v>
      </c>
      <c r="I5" s="37">
        <f>Data!K$31</f>
        <v>7</v>
      </c>
      <c r="J5" s="37">
        <f>Data!L$31</f>
        <v>9</v>
      </c>
      <c r="K5" s="37">
        <f>Data!M$31</f>
        <v>14</v>
      </c>
      <c r="L5" s="37">
        <f>Data!N$31</f>
        <v>5</v>
      </c>
      <c r="M5" s="37">
        <f>Data!O$31</f>
        <v>8</v>
      </c>
      <c r="N5" s="37">
        <f>Data!P$31</f>
        <v>15</v>
      </c>
      <c r="O5" s="37">
        <f>Data!Q$31</f>
        <v>1</v>
      </c>
      <c r="P5" s="37">
        <f>Data!R$31</f>
        <v>11</v>
      </c>
    </row>
    <row r="6" spans="1:16" ht="12.75">
      <c r="A6" s="37" t="str">
        <f>Data!$A$33</f>
        <v>Change/growth (1990-2000)</v>
      </c>
      <c r="B6" s="37">
        <f>Data!D$34</f>
        <v>6</v>
      </c>
      <c r="C6" s="37">
        <f>Data!E$34</f>
        <v>10</v>
      </c>
      <c r="D6" s="37">
        <f>Data!F$34</f>
        <v>11</v>
      </c>
      <c r="E6" s="37">
        <f>Data!G$34</f>
        <v>2</v>
      </c>
      <c r="F6" s="37">
        <f>Data!H$34</f>
        <v>9</v>
      </c>
      <c r="G6" s="37">
        <f>Data!I$34</f>
        <v>6</v>
      </c>
      <c r="H6" s="37">
        <f>Data!J$34</f>
        <v>2</v>
      </c>
      <c r="I6" s="37">
        <f>Data!K$34</f>
        <v>12</v>
      </c>
      <c r="J6" s="37">
        <f>Data!L$34</f>
        <v>8</v>
      </c>
      <c r="K6" s="37">
        <f>Data!M$34</f>
        <v>5</v>
      </c>
      <c r="L6" s="37">
        <f>Data!N$34</f>
        <v>4</v>
      </c>
      <c r="M6" s="37">
        <f>Data!O$34</f>
        <v>14</v>
      </c>
      <c r="N6" s="37">
        <f>Data!P$34</f>
        <v>15</v>
      </c>
      <c r="O6" s="37">
        <f>Data!Q$34</f>
        <v>1</v>
      </c>
      <c r="P6" s="37">
        <f>Data!R$34</f>
        <v>13</v>
      </c>
    </row>
    <row r="7" spans="1:16" ht="12.75">
      <c r="A7" s="37" t="str">
        <f>Data!$A$35</f>
        <v>%'age growth rate (1990-2000)</v>
      </c>
      <c r="B7" s="37">
        <f>Data!D$36</f>
        <v>7</v>
      </c>
      <c r="C7" s="37">
        <f>Data!E$36</f>
        <v>3</v>
      </c>
      <c r="D7" s="37">
        <f>Data!F$36</f>
        <v>14</v>
      </c>
      <c r="E7" s="37">
        <f>Data!G$36</f>
        <v>8</v>
      </c>
      <c r="F7" s="37">
        <f>Data!H$36</f>
        <v>15</v>
      </c>
      <c r="G7" s="37">
        <f>Data!I$36</f>
        <v>10</v>
      </c>
      <c r="H7" s="37">
        <f>Data!J$36</f>
        <v>6</v>
      </c>
      <c r="I7" s="37">
        <f>Data!K$36</f>
        <v>2</v>
      </c>
      <c r="J7" s="37">
        <f>Data!L$36</f>
        <v>5</v>
      </c>
      <c r="K7" s="37">
        <f>Data!M$36</f>
        <v>1</v>
      </c>
      <c r="L7" s="37">
        <f>Data!N$36</f>
        <v>4</v>
      </c>
      <c r="M7" s="37">
        <f>Data!O$36</f>
        <v>12</v>
      </c>
      <c r="N7" s="37">
        <f>Data!P$36</f>
        <v>11</v>
      </c>
      <c r="O7" s="37">
        <f>Data!Q$36</f>
        <v>13</v>
      </c>
      <c r="P7" s="37">
        <f>Data!R$36</f>
        <v>9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Data!$A$39</f>
        <v>Minorities (2000)</v>
      </c>
      <c r="B2" s="37">
        <f>Data!D$40</f>
        <v>1</v>
      </c>
      <c r="C2" s="37">
        <f>Data!E$40</f>
        <v>14</v>
      </c>
      <c r="D2" s="37">
        <f>Data!F$40</f>
        <v>10</v>
      </c>
      <c r="E2" s="37">
        <f>Data!G$40</f>
        <v>2</v>
      </c>
      <c r="F2" s="37">
        <f>Data!H$40</f>
        <v>6</v>
      </c>
      <c r="G2" s="37">
        <f>Data!I$40</f>
        <v>4</v>
      </c>
      <c r="H2" s="37">
        <f>Data!J$40</f>
        <v>3</v>
      </c>
      <c r="I2" s="37">
        <f>Data!K$40</f>
        <v>13</v>
      </c>
      <c r="J2" s="37">
        <f>Data!L$40</f>
        <v>7</v>
      </c>
      <c r="K2" s="37">
        <f>Data!M$40</f>
        <v>11</v>
      </c>
      <c r="L2" s="37">
        <f>Data!N$40</f>
        <v>5</v>
      </c>
      <c r="M2" s="37">
        <f>Data!O$40</f>
        <v>8</v>
      </c>
      <c r="N2" s="37">
        <f>Data!P$40</f>
        <v>15</v>
      </c>
      <c r="O2" s="37">
        <f>Data!Q$40</f>
        <v>9</v>
      </c>
      <c r="P2" s="37">
        <f>Data!R$40</f>
        <v>12</v>
      </c>
    </row>
    <row r="3" spans="1:16" ht="12.75">
      <c r="A3" s="37" t="str">
        <f>Data!$A$41</f>
        <v>%'age of minorities in pop.</v>
      </c>
      <c r="B3" s="37">
        <f>Data!D$42</f>
        <v>7</v>
      </c>
      <c r="C3" s="37">
        <f>Data!E$42</f>
        <v>11</v>
      </c>
      <c r="D3" s="37">
        <f>Data!F$42</f>
        <v>14</v>
      </c>
      <c r="E3" s="37">
        <f>Data!G$42</f>
        <v>2</v>
      </c>
      <c r="F3" s="37">
        <f>Data!H$42</f>
        <v>9</v>
      </c>
      <c r="G3" s="37">
        <f>Data!I$42</f>
        <v>1</v>
      </c>
      <c r="H3" s="37">
        <f>Data!J$42</f>
        <v>5</v>
      </c>
      <c r="I3" s="37">
        <f>Data!K$42</f>
        <v>8</v>
      </c>
      <c r="J3" s="37">
        <f>Data!L$42</f>
        <v>10</v>
      </c>
      <c r="K3" s="37">
        <f>Data!M$42</f>
        <v>12</v>
      </c>
      <c r="L3" s="37">
        <f>Data!N$42</f>
        <v>4</v>
      </c>
      <c r="M3" s="37">
        <f>Data!O$42</f>
        <v>6</v>
      </c>
      <c r="N3" s="37">
        <f>Data!P$42</f>
        <v>15</v>
      </c>
      <c r="O3" s="37">
        <f>Data!Q$42</f>
        <v>3</v>
      </c>
      <c r="P3" s="37">
        <f>Data!R$42</f>
        <v>13</v>
      </c>
    </row>
    <row r="4" spans="1:16" ht="12.75">
      <c r="A4" s="37" t="str">
        <f>Data!$A$44</f>
        <v>Change/growth (1990-2000)</v>
      </c>
      <c r="B4" s="37">
        <f>Data!D$45</f>
        <v>2</v>
      </c>
      <c r="C4" s="37">
        <f>Data!E$45</f>
        <v>14</v>
      </c>
      <c r="D4" s="37">
        <f>Data!F$45</f>
        <v>10</v>
      </c>
      <c r="E4" s="37">
        <f>Data!G$45</f>
        <v>1</v>
      </c>
      <c r="F4" s="37">
        <f>Data!H$45</f>
        <v>9</v>
      </c>
      <c r="G4" s="37">
        <f>Data!I$45</f>
        <v>3</v>
      </c>
      <c r="H4" s="37">
        <f>Data!J$45</f>
        <v>5</v>
      </c>
      <c r="I4" s="37">
        <f>Data!K$45</f>
        <v>11</v>
      </c>
      <c r="J4" s="37">
        <f>Data!L$45</f>
        <v>7</v>
      </c>
      <c r="K4" s="37">
        <f>Data!M$45</f>
        <v>11</v>
      </c>
      <c r="L4" s="37">
        <f>Data!N$45</f>
        <v>4</v>
      </c>
      <c r="M4" s="37">
        <f>Data!O$45</f>
        <v>8</v>
      </c>
      <c r="N4" s="37">
        <f>Data!P$45</f>
        <v>15</v>
      </c>
      <c r="O4" s="37">
        <f>Data!Q$45</f>
        <v>6</v>
      </c>
      <c r="P4" s="37">
        <f>Data!R$45</f>
        <v>13</v>
      </c>
    </row>
    <row r="5" spans="1:16" ht="12.75">
      <c r="A5" s="37" t="str">
        <f>Data!$A$46</f>
        <v>%'age growth rate (1990-2000)</v>
      </c>
      <c r="B5" s="37">
        <f>Data!D$47</f>
        <v>5</v>
      </c>
      <c r="C5" s="37">
        <f>Data!E$47</f>
        <v>8</v>
      </c>
      <c r="D5" s="37">
        <f>Data!F$47</f>
        <v>12</v>
      </c>
      <c r="E5" s="37">
        <f>Data!G$47</f>
        <v>1</v>
      </c>
      <c r="F5" s="37">
        <f>Data!H$47</f>
        <v>15</v>
      </c>
      <c r="G5" s="37">
        <f>Data!I$47</f>
        <v>4</v>
      </c>
      <c r="H5" s="37">
        <f>Data!J$47</f>
        <v>13</v>
      </c>
      <c r="I5" s="37">
        <f>Data!K$47</f>
        <v>2</v>
      </c>
      <c r="J5" s="37">
        <f>Data!L$47</f>
        <v>7</v>
      </c>
      <c r="K5" s="37">
        <f>Data!M$47</f>
        <v>10</v>
      </c>
      <c r="L5" s="37">
        <f>Data!N$47</f>
        <v>6</v>
      </c>
      <c r="M5" s="37">
        <f>Data!O$47</f>
        <v>9</v>
      </c>
      <c r="N5" s="37">
        <f>Data!P$47</f>
        <v>14</v>
      </c>
      <c r="O5" s="37">
        <f>Data!Q$47</f>
        <v>3</v>
      </c>
      <c r="P5" s="37">
        <f>Data!R$47</f>
        <v>11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Data!$A50</f>
        <v>%'age of households w/children</v>
      </c>
      <c r="B2" s="37">
        <f>Data!D$51</f>
        <v>13</v>
      </c>
      <c r="C2" s="37">
        <f>Data!E$51</f>
        <v>6</v>
      </c>
      <c r="D2" s="37">
        <f>Data!F$51</f>
        <v>5</v>
      </c>
      <c r="E2" s="37">
        <f>Data!G$51</f>
        <v>10</v>
      </c>
      <c r="F2" s="37">
        <f>Data!H$51</f>
        <v>9</v>
      </c>
      <c r="G2" s="37">
        <f>Data!I$51</f>
        <v>14</v>
      </c>
      <c r="H2" s="37">
        <f>Data!J$51</f>
        <v>7</v>
      </c>
      <c r="I2" s="37">
        <f>Data!K$51</f>
        <v>8</v>
      </c>
      <c r="J2" s="37">
        <f>Data!L$51</f>
        <v>4</v>
      </c>
      <c r="K2" s="37">
        <f>Data!M$51</f>
        <v>1</v>
      </c>
      <c r="L2" s="37">
        <f>Data!N$51</f>
        <v>3</v>
      </c>
      <c r="M2" s="37">
        <f>Data!O$51</f>
        <v>12</v>
      </c>
      <c r="N2" s="37">
        <f>Data!P$51</f>
        <v>15</v>
      </c>
      <c r="O2" s="37">
        <f>Data!Q$51</f>
        <v>11</v>
      </c>
      <c r="P2" s="37">
        <f>Data!R$51</f>
        <v>2</v>
      </c>
    </row>
    <row r="3" spans="1:16" ht="12.75">
      <c r="A3" s="37" t="str">
        <f>Data!$A$53</f>
        <v>%'age of households w/seniors</v>
      </c>
      <c r="B3" s="37">
        <f>Data!D$54</f>
        <v>9</v>
      </c>
      <c r="C3" s="37">
        <f>Data!E$54</f>
        <v>15</v>
      </c>
      <c r="D3" s="37">
        <f>Data!F$54</f>
        <v>5</v>
      </c>
      <c r="E3" s="37">
        <f>Data!G$54</f>
        <v>3</v>
      </c>
      <c r="F3" s="37">
        <f>Data!H$54</f>
        <v>3</v>
      </c>
      <c r="G3" s="37">
        <f>Data!I$54</f>
        <v>1</v>
      </c>
      <c r="H3" s="37">
        <f>Data!J$54</f>
        <v>7</v>
      </c>
      <c r="I3" s="37">
        <f>Data!K$54</f>
        <v>8</v>
      </c>
      <c r="J3" s="37">
        <f>Data!L$54</f>
        <v>11</v>
      </c>
      <c r="K3" s="37">
        <f>Data!M$54</f>
        <v>12</v>
      </c>
      <c r="L3" s="37">
        <f>Data!N$54</f>
        <v>14</v>
      </c>
      <c r="M3" s="37">
        <f>Data!O$54</f>
        <v>13</v>
      </c>
      <c r="N3" s="37">
        <f>Data!P$54</f>
        <v>6</v>
      </c>
      <c r="O3" s="37">
        <f>Data!Q$54</f>
        <v>2</v>
      </c>
      <c r="P3" s="37">
        <f>Data!R$54</f>
        <v>10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Data!$A$58</f>
        <v>Head of household income $125k+</v>
      </c>
      <c r="B2" s="37">
        <f>Data!D$59</f>
        <v>7</v>
      </c>
      <c r="C2" s="37">
        <f>Data!E$59</f>
        <v>8</v>
      </c>
      <c r="D2" s="37">
        <f>Data!F$59</f>
        <v>1</v>
      </c>
      <c r="E2" s="37">
        <f>Data!G$59</f>
        <v>15</v>
      </c>
      <c r="F2" s="37">
        <f>Data!H$59</f>
        <v>6</v>
      </c>
      <c r="G2" s="37">
        <f>Data!I$59</f>
        <v>13</v>
      </c>
      <c r="H2" s="37">
        <f>Data!J$59</f>
        <v>2</v>
      </c>
      <c r="I2" s="37">
        <f>Data!K$59</f>
        <v>11</v>
      </c>
      <c r="J2" s="37">
        <f>Data!L$59</f>
        <v>3</v>
      </c>
      <c r="K2" s="37">
        <f>Data!M$59</f>
        <v>4</v>
      </c>
      <c r="L2" s="37">
        <f>Data!N$59</f>
        <v>12</v>
      </c>
      <c r="M2" s="37">
        <f>Data!O$59</f>
        <v>10</v>
      </c>
      <c r="N2" s="37">
        <f>Data!P$59</f>
        <v>5</v>
      </c>
      <c r="O2" s="37">
        <f>Data!Q$59</f>
        <v>14</v>
      </c>
      <c r="P2" s="37">
        <f>Data!R$59</f>
        <v>9</v>
      </c>
    </row>
    <row r="3" spans="1:16" ht="12.75">
      <c r="A3" s="37" t="str">
        <f>Data!$A$60</f>
        <v>%'age pop. with HH income $125k+</v>
      </c>
      <c r="B3" s="37">
        <f>Data!D$61</f>
        <v>10</v>
      </c>
      <c r="C3" s="37">
        <f>Data!E$61</f>
        <v>6</v>
      </c>
      <c r="D3" s="37">
        <f>Data!F$61</f>
        <v>1</v>
      </c>
      <c r="E3" s="37">
        <f>Data!G$61</f>
        <v>15</v>
      </c>
      <c r="F3" s="37">
        <f>Data!H$61</f>
        <v>6</v>
      </c>
      <c r="G3" s="37">
        <f>Data!I$61</f>
        <v>14</v>
      </c>
      <c r="H3" s="37">
        <f>Data!J$61</f>
        <v>2</v>
      </c>
      <c r="I3" s="37">
        <f>Data!K$61</f>
        <v>6</v>
      </c>
      <c r="J3" s="37">
        <f>Data!L$61</f>
        <v>5</v>
      </c>
      <c r="K3" s="37">
        <f>Data!M$61</f>
        <v>4</v>
      </c>
      <c r="L3" s="37">
        <f>Data!N$61</f>
        <v>12</v>
      </c>
      <c r="M3" s="37">
        <f>Data!O$61</f>
        <v>9</v>
      </c>
      <c r="N3" s="37">
        <f>Data!P$61</f>
        <v>3</v>
      </c>
      <c r="O3" s="37">
        <f>Data!Q$61</f>
        <v>13</v>
      </c>
      <c r="P3" s="37">
        <f>Data!R$61</f>
        <v>11</v>
      </c>
    </row>
    <row r="4" spans="1:16" ht="12.75">
      <c r="A4" s="37" t="str">
        <f>Data!$A$63</f>
        <v>Median SFR sale price (2004)</v>
      </c>
      <c r="B4" s="37">
        <f>Data!D$64</f>
        <v>3</v>
      </c>
      <c r="C4" s="37">
        <f>Data!E$64</f>
        <v>4</v>
      </c>
      <c r="D4" s="37">
        <f>Data!F$64</f>
        <v>1</v>
      </c>
      <c r="E4" s="37">
        <f>Data!G$64</f>
        <v>15</v>
      </c>
      <c r="F4" s="37">
        <f>Data!H$64</f>
        <v>9</v>
      </c>
      <c r="G4" s="37">
        <f>Data!I$64</f>
        <v>13</v>
      </c>
      <c r="H4" s="37">
        <f>Data!J$64</f>
        <v>11</v>
      </c>
      <c r="I4" s="37">
        <f>Data!K$64</f>
        <v>5</v>
      </c>
      <c r="J4" s="37">
        <f>Data!L$64</f>
        <v>6</v>
      </c>
      <c r="K4" s="37">
        <f>Data!M$64</f>
        <v>7</v>
      </c>
      <c r="L4" s="37">
        <f>Data!N$64</f>
        <v>8</v>
      </c>
      <c r="M4" s="37">
        <f>Data!O$64</f>
        <v>10</v>
      </c>
      <c r="N4" s="37">
        <f>Data!P$64</f>
        <v>2</v>
      </c>
      <c r="O4" s="37">
        <f>Data!Q$64</f>
        <v>14</v>
      </c>
      <c r="P4" s="37">
        <f>Data!R$64</f>
        <v>12</v>
      </c>
    </row>
    <row r="5" spans="1:16" ht="12.75">
      <c r="A5" s="37" t="str">
        <f>Data!$A$65</f>
        <v>Change/growth (1995-2004)</v>
      </c>
      <c r="B5" s="37">
        <f>Data!D$66</f>
        <v>3</v>
      </c>
      <c r="C5" s="37">
        <f>Data!E$66</f>
        <v>4</v>
      </c>
      <c r="D5" s="37">
        <f>Data!F$66</f>
        <v>1</v>
      </c>
      <c r="E5" s="37">
        <f>Data!G$66</f>
        <v>14</v>
      </c>
      <c r="F5" s="37">
        <f>Data!H$66</f>
        <v>10</v>
      </c>
      <c r="G5" s="37">
        <f>Data!I$66</f>
        <v>12</v>
      </c>
      <c r="H5" s="37">
        <f>Data!J$66</f>
        <v>9</v>
      </c>
      <c r="I5" s="37">
        <f>Data!K$66</f>
        <v>5</v>
      </c>
      <c r="J5" s="37">
        <f>Data!L$66</f>
        <v>6</v>
      </c>
      <c r="K5" s="37">
        <f>Data!M$66</f>
        <v>7</v>
      </c>
      <c r="L5" s="37">
        <f>Data!N$66</f>
        <v>11</v>
      </c>
      <c r="M5" s="37">
        <f>Data!O$66</f>
        <v>8</v>
      </c>
      <c r="N5" s="37">
        <f>Data!P$66</f>
        <v>2</v>
      </c>
      <c r="O5" s="37">
        <f>Data!Q$66</f>
        <v>15</v>
      </c>
      <c r="P5" s="37">
        <f>Data!R$66</f>
        <v>13</v>
      </c>
    </row>
    <row r="6" spans="1:16" ht="12.75">
      <c r="A6" s="37" t="str">
        <f>Data!$A$67</f>
        <v>%'age growth rate (1995-2004)</v>
      </c>
      <c r="B6" s="37">
        <f>Data!D$68</f>
        <v>15</v>
      </c>
      <c r="C6" s="37">
        <f>Data!E$68</f>
        <v>10</v>
      </c>
      <c r="D6" s="37">
        <f>Data!F$68</f>
        <v>14</v>
      </c>
      <c r="E6" s="37">
        <f>Data!G$68</f>
        <v>11</v>
      </c>
      <c r="F6" s="37">
        <f>Data!H$68</f>
        <v>6</v>
      </c>
      <c r="G6" s="37">
        <f>Data!I$68</f>
        <v>8</v>
      </c>
      <c r="H6" s="37">
        <f>Data!J$68</f>
        <v>12</v>
      </c>
      <c r="I6" s="37">
        <f>Data!K$68</f>
        <v>7</v>
      </c>
      <c r="J6" s="37">
        <f>Data!L$68</f>
        <v>4</v>
      </c>
      <c r="K6" s="37">
        <f>Data!M$68</f>
        <v>5</v>
      </c>
      <c r="L6" s="37">
        <f>Data!N$68</f>
        <v>2</v>
      </c>
      <c r="M6" s="37">
        <f>Data!O$68</f>
        <v>9</v>
      </c>
      <c r="N6" s="37">
        <f>Data!P$68</f>
        <v>13</v>
      </c>
      <c r="O6" s="37">
        <f>Data!Q$68</f>
        <v>3</v>
      </c>
      <c r="P6" s="37">
        <f>Data!R$68</f>
        <v>1</v>
      </c>
    </row>
    <row r="7" spans="1:16" ht="12.75">
      <c r="A7" s="37" t="str">
        <f>Data!$A$69</f>
        <v>Affordable housing index</v>
      </c>
      <c r="B7" s="37">
        <f>Data!D$70</f>
        <v>13</v>
      </c>
      <c r="C7" s="37">
        <f>Data!E$70</f>
        <v>12</v>
      </c>
      <c r="D7" s="37">
        <f>Data!F$70</f>
        <v>15</v>
      </c>
      <c r="E7" s="37">
        <f>Data!G$70</f>
        <v>2</v>
      </c>
      <c r="F7" s="37">
        <f>Data!H$70</f>
        <v>6</v>
      </c>
      <c r="G7" s="37">
        <f>Data!I$70</f>
        <v>4</v>
      </c>
      <c r="H7" s="37">
        <f>Data!J$70</f>
        <v>7</v>
      </c>
      <c r="I7" s="37">
        <f>Data!K$70</f>
        <v>11</v>
      </c>
      <c r="J7" s="37">
        <f>Data!L$70</f>
        <v>10</v>
      </c>
      <c r="K7" s="37">
        <f>Data!M$70</f>
        <v>9</v>
      </c>
      <c r="L7" s="37">
        <f>Data!N$70</f>
        <v>5</v>
      </c>
      <c r="M7" s="37">
        <f>Data!O$70</f>
        <v>8</v>
      </c>
      <c r="N7" s="37">
        <f>Data!P$70</f>
        <v>14</v>
      </c>
      <c r="O7" s="37">
        <f>Data!Q$70</f>
        <v>1</v>
      </c>
      <c r="P7" s="37">
        <f>Data!R$70</f>
        <v>3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Data!$A$74</f>
        <v>Elem. teacher exp. in yrs (02-03)</v>
      </c>
      <c r="B2" s="37">
        <f>Data!D$75</f>
        <v>7</v>
      </c>
      <c r="C2" s="37">
        <f>Data!E$75</f>
        <v>4</v>
      </c>
      <c r="D2" s="37">
        <f>Data!F$75</f>
        <v>12</v>
      </c>
      <c r="E2" s="37">
        <f>Data!G$75</f>
        <v>9</v>
      </c>
      <c r="F2" s="37">
        <f>Data!H$75</f>
        <v>5</v>
      </c>
      <c r="G2" s="37">
        <f>Data!I$75</f>
        <v>15</v>
      </c>
      <c r="H2" s="37">
        <f>Data!J$75</f>
        <v>2</v>
      </c>
      <c r="I2" s="37">
        <f>Data!K$75</f>
        <v>14</v>
      </c>
      <c r="J2" s="37">
        <f>Data!L$75</f>
        <v>8</v>
      </c>
      <c r="K2" s="37">
        <f>Data!M$75</f>
        <v>10</v>
      </c>
      <c r="L2" s="37">
        <f>Data!N$75</f>
        <v>11</v>
      </c>
      <c r="M2" s="37">
        <f>Data!O$75</f>
        <v>13</v>
      </c>
      <c r="N2" s="37">
        <f>Data!P$75</f>
        <v>6</v>
      </c>
      <c r="O2" s="37">
        <f>Data!Q$75</f>
        <v>1</v>
      </c>
      <c r="P2" s="37">
        <f>Data!R$75</f>
        <v>2</v>
      </c>
    </row>
    <row r="3" spans="1:16" ht="12.75">
      <c r="A3" s="37" t="str">
        <f>Data!$A$76</f>
        <v>%'age elem. teachers w/masters</v>
      </c>
      <c r="B3" s="37">
        <f>Data!D$77</f>
        <v>9</v>
      </c>
      <c r="C3" s="37">
        <f>Data!E$77</f>
        <v>4</v>
      </c>
      <c r="D3" s="37">
        <f>Data!F$77</f>
        <v>9</v>
      </c>
      <c r="E3" s="37">
        <f>Data!G$77</f>
        <v>6</v>
      </c>
      <c r="F3" s="37">
        <f>Data!H$77</f>
        <v>2</v>
      </c>
      <c r="G3" s="37">
        <f>Data!I$77</f>
        <v>15</v>
      </c>
      <c r="H3" s="37">
        <f>Data!J$77</f>
        <v>12</v>
      </c>
      <c r="I3" s="37">
        <f>Data!K$77</f>
        <v>13</v>
      </c>
      <c r="J3" s="37">
        <f>Data!L$77</f>
        <v>7</v>
      </c>
      <c r="K3" s="37">
        <f>Data!M$77</f>
        <v>14</v>
      </c>
      <c r="L3" s="37">
        <f>Data!N$77</f>
        <v>5</v>
      </c>
      <c r="M3" s="37">
        <f>Data!O$77</f>
        <v>11</v>
      </c>
      <c r="N3" s="37">
        <f>Data!P$77</f>
        <v>8</v>
      </c>
      <c r="O3" s="37">
        <f>Data!Q$77</f>
        <v>1</v>
      </c>
      <c r="P3" s="37">
        <f>Data!R$77</f>
        <v>3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"/>
    </sheetView>
  </sheetViews>
  <sheetFormatPr defaultColWidth="12.57421875" defaultRowHeight="12.75"/>
  <cols>
    <col min="1" max="16" width="8.00390625" style="0" customWidth="1"/>
    <col min="17" max="16384" width="11.7109375" style="0" customWidth="1"/>
  </cols>
  <sheetData>
    <row r="1" spans="1:16" ht="36.75">
      <c r="A1" s="36"/>
      <c r="B1" s="36" t="str">
        <f>Data!D$1</f>
        <v>ASERT</v>
      </c>
      <c r="C1" s="36" t="str">
        <f>Data!E$1</f>
        <v>Centennial</v>
      </c>
      <c r="D1" s="36" t="str">
        <f>Data!F$1</f>
        <v>City Central</v>
      </c>
      <c r="E1" s="36" t="str">
        <f>Data!G$1</f>
        <v>Gresham Butte</v>
      </c>
      <c r="F1" s="36" t="str">
        <f>Data!H$1</f>
        <v>Holly Brook</v>
      </c>
      <c r="G1" s="36" t="str">
        <f>Data!I$1</f>
        <v>Kelly Creek</v>
      </c>
      <c r="H1" s="36" t="str">
        <f>Data!J$1</f>
        <v>Mt. Hood</v>
      </c>
      <c r="I1" s="36" t="str">
        <f>Data!K$1</f>
        <v>North Central</v>
      </c>
      <c r="J1" s="36" t="str">
        <f>Data!L$1</f>
        <v>North Gresham</v>
      </c>
      <c r="K1" s="36" t="str">
        <f>Data!M$1</f>
        <v>Northeast</v>
      </c>
      <c r="L1" s="36" t="str">
        <f>Data!N$1</f>
        <v>Northwest</v>
      </c>
      <c r="M1" s="36" t="str">
        <f>Data!O$1</f>
        <v>Powell Valley</v>
      </c>
      <c r="N1" s="36" t="str">
        <f>Data!P$1</f>
        <v>Rockwood</v>
      </c>
      <c r="O1" s="36" t="str">
        <f>Data!Q$1</f>
        <v>Southwest</v>
      </c>
      <c r="P1" s="36" t="str">
        <f>Data!R$1</f>
        <v>Wilkes-East</v>
      </c>
    </row>
    <row r="2" spans="1:16" ht="12.75">
      <c r="A2" s="37" t="str">
        <f>Data!$A$80</f>
        <v>People within ¼ mi. of stop</v>
      </c>
      <c r="B2" s="37">
        <f>Data!D$81</f>
        <v>1</v>
      </c>
      <c r="C2" s="37">
        <f>Data!E$81</f>
        <v>14</v>
      </c>
      <c r="D2" s="37">
        <f>Data!F$81</f>
        <v>8</v>
      </c>
      <c r="E2" s="37">
        <f>Data!G$81</f>
        <v>3</v>
      </c>
      <c r="F2" s="37">
        <f>Data!H$81</f>
        <v>6</v>
      </c>
      <c r="G2" s="37">
        <f>Data!I$81</f>
        <v>5</v>
      </c>
      <c r="H2" s="37">
        <f>Data!J$81</f>
        <v>2</v>
      </c>
      <c r="I2" s="37">
        <f>Data!K$81</f>
        <v>13</v>
      </c>
      <c r="J2" s="37">
        <f>Data!L$81</f>
        <v>9</v>
      </c>
      <c r="K2" s="37">
        <f>Data!M$81</f>
        <v>12</v>
      </c>
      <c r="L2" s="37">
        <f>Data!N$81</f>
        <v>7</v>
      </c>
      <c r="M2" s="37">
        <f>Data!O$81</f>
        <v>11</v>
      </c>
      <c r="N2" s="37">
        <f>Data!P$81</f>
        <v>15</v>
      </c>
      <c r="O2" s="37">
        <f>Data!Q$81</f>
        <v>4</v>
      </c>
      <c r="P2" s="37">
        <f>Data!R$81</f>
        <v>10</v>
      </c>
    </row>
    <row r="3" spans="1:16" ht="12.75">
      <c r="A3" s="37" t="str">
        <f>Data!$A$82</f>
        <v>%'age people within ¼ mi. of stop</v>
      </c>
      <c r="B3" s="37">
        <f>Data!D$83</f>
        <v>3</v>
      </c>
      <c r="C3" s="37">
        <f>Data!E$83</f>
        <v>13</v>
      </c>
      <c r="D3" s="37">
        <f>Data!F$83</f>
        <v>15</v>
      </c>
      <c r="E3" s="37">
        <f>Data!G$83</f>
        <v>2</v>
      </c>
      <c r="F3" s="37">
        <f>Data!H$83</f>
        <v>6</v>
      </c>
      <c r="G3" s="37">
        <f>Data!I$83</f>
        <v>5</v>
      </c>
      <c r="H3" s="37">
        <f>Data!J$83</f>
        <v>1</v>
      </c>
      <c r="I3" s="37">
        <f>Data!K$83</f>
        <v>6</v>
      </c>
      <c r="J3" s="37">
        <f>Data!L$83</f>
        <v>11</v>
      </c>
      <c r="K3" s="37">
        <f>Data!M$83</f>
        <v>12</v>
      </c>
      <c r="L3" s="37">
        <f>Data!N$83</f>
        <v>8</v>
      </c>
      <c r="M3" s="37">
        <f>Data!O$83</f>
        <v>9</v>
      </c>
      <c r="N3" s="37">
        <f>Data!P$83</f>
        <v>14</v>
      </c>
      <c r="O3" s="37">
        <f>Data!Q$83</f>
        <v>4</v>
      </c>
      <c r="P3" s="37">
        <f>Data!R$83</f>
        <v>10</v>
      </c>
    </row>
    <row r="4" spans="1:16" ht="12.75">
      <c r="A4" s="37" t="str">
        <f>Data!$A$85</f>
        <v>Avg. dist. to stop in blocks (280')</v>
      </c>
      <c r="B4" s="37">
        <f>Data!D$86</f>
        <v>3</v>
      </c>
      <c r="C4" s="37">
        <f>Data!E$86</f>
        <v>13</v>
      </c>
      <c r="D4" s="37">
        <f>Data!F$86</f>
        <v>15</v>
      </c>
      <c r="E4" s="37">
        <f>Data!G$86</f>
        <v>1</v>
      </c>
      <c r="F4" s="37">
        <f>Data!H$86</f>
        <v>9</v>
      </c>
      <c r="G4" s="37">
        <f>Data!I$86</f>
        <v>5</v>
      </c>
      <c r="H4" s="37">
        <f>Data!J$86</f>
        <v>2</v>
      </c>
      <c r="I4" s="37">
        <f>Data!K$86</f>
        <v>5</v>
      </c>
      <c r="J4" s="37">
        <f>Data!L$86</f>
        <v>5</v>
      </c>
      <c r="K4" s="37">
        <f>Data!M$86</f>
        <v>9</v>
      </c>
      <c r="L4" s="37">
        <f>Data!N$86</f>
        <v>9</v>
      </c>
      <c r="M4" s="37">
        <f>Data!O$86</f>
        <v>5</v>
      </c>
      <c r="N4" s="37">
        <f>Data!P$86</f>
        <v>13</v>
      </c>
      <c r="O4" s="37">
        <f>Data!Q$86</f>
        <v>3</v>
      </c>
      <c r="P4" s="37">
        <f>Data!R$86</f>
        <v>9</v>
      </c>
    </row>
    <row r="5" spans="1:16" ht="12.75">
      <c r="A5" s="37" t="str">
        <f>Data!$A$87</f>
        <v>People per trip per hour</v>
      </c>
      <c r="B5" s="37">
        <f>Data!D$88</f>
        <v>3</v>
      </c>
      <c r="C5" s="37">
        <f>Data!E$88</f>
        <v>14</v>
      </c>
      <c r="D5" s="37">
        <f>Data!F$88</f>
        <v>15</v>
      </c>
      <c r="E5" s="37">
        <f>Data!G$88</f>
        <v>9</v>
      </c>
      <c r="F5" s="37">
        <f>Data!H$88</f>
        <v>11</v>
      </c>
      <c r="G5" s="37">
        <f>Data!I$88</f>
        <v>4</v>
      </c>
      <c r="H5" s="37">
        <f>Data!J$88</f>
        <v>1</v>
      </c>
      <c r="I5" s="37">
        <f>Data!K$88</f>
        <v>6</v>
      </c>
      <c r="J5" s="37">
        <f>Data!L$88</f>
        <v>9</v>
      </c>
      <c r="K5" s="37">
        <f>Data!M$88</f>
        <v>7</v>
      </c>
      <c r="L5" s="37">
        <f>Data!N$88</f>
        <v>12</v>
      </c>
      <c r="M5" s="37">
        <f>Data!O$88</f>
        <v>5</v>
      </c>
      <c r="N5" s="37">
        <f>Data!P$88</f>
        <v>13</v>
      </c>
      <c r="O5" s="37">
        <f>Data!Q$88</f>
        <v>2</v>
      </c>
      <c r="P5" s="37">
        <f>Data!R$88</f>
        <v>8</v>
      </c>
    </row>
  </sheetData>
  <printOptions/>
  <pageMargins left="0.5" right="0.5" top="0.5" bottom="0.5" header="0.5118055555555556" footer="0.5118055555555556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Thornsbury</dc:creator>
  <cp:keywords/>
  <dc:description/>
  <cp:lastModifiedBy/>
  <cp:lastPrinted>1601-01-01T07:00:00Z</cp:lastPrinted>
  <dcterms:created xsi:type="dcterms:W3CDTF">2007-10-26T01:17:56Z</dcterms:created>
  <dcterms:modified xsi:type="dcterms:W3CDTF">1601-01-01T07:00:00Z</dcterms:modified>
  <cp:category/>
  <cp:version/>
  <cp:contentType/>
  <cp:contentStatus/>
  <cp:revision>1</cp:revision>
</cp:coreProperties>
</file>